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ini/Downloads/"/>
    </mc:Choice>
  </mc:AlternateContent>
  <xr:revisionPtr revIDLastSave="0" documentId="13_ncr:1_{6611928D-AF67-AD4B-AC1E-4519B63A1D6B}" xr6:coauthVersionLast="47" xr6:coauthVersionMax="47" xr10:uidLastSave="{00000000-0000-0000-0000-000000000000}"/>
  <bookViews>
    <workbookView xWindow="0" yWindow="660" windowWidth="30240" windowHeight="18980" activeTab="5" xr2:uid="{00000000-000D-0000-FFFF-FFFF00000000}"/>
  </bookViews>
  <sheets>
    <sheet name="0_Instructions" sheetId="1" r:id="rId1"/>
    <sheet name="1_Inputs" sheetId="2" r:id="rId2"/>
    <sheet name="2_Connection" sheetId="3" r:id="rId3"/>
    <sheet name="3_Results" sheetId="4" r:id="rId4"/>
    <sheet name="4_VME_data plot" sheetId="5" r:id="rId5"/>
    <sheet name="4_VME_Plot screen" sheetId="6" r:id="rId6"/>
  </sheets>
  <definedNames>
    <definedName name="caselist">'1_Inputs'!$A$50:$A$54</definedName>
    <definedName name="caselistfull">'1_Inputs'!$A$50:$E$54</definedName>
    <definedName name="casingfull">'1_Inputs'!$A$8:$D$13</definedName>
    <definedName name="casinglist">'1_Inputs'!$A$8:$A$13</definedName>
    <definedName name="connectionfull">'2_Connection'!$A$9:$E$12</definedName>
    <definedName name="connectionlist">'2_Connection'!$A$9:$A$12</definedName>
    <definedName name="_xlnm.Print_Area" localSheetId="4">'4_VME_data plot'!$A$2:$K$89</definedName>
    <definedName name="_xlnm.Print_Titles" localSheetId="0">'0_Instructions'!$1:$1</definedName>
    <definedName name="_xlnm.Print_Titles" localSheetId="1">'1_Inputs'!$1:$1</definedName>
    <definedName name="_xlnm.Print_Titles" localSheetId="2">'2_Connection'!$2:$2</definedName>
    <definedName name="_xlnm.Print_Titles" localSheetId="3">'3_Results'!$1:$1</definedName>
    <definedName name="_xlnm.Print_Titles" localSheetId="4">'4_VME_data plot'!$1:$1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/>
  <c r="B17" i="3"/>
  <c r="B16" i="3"/>
  <c r="B15" i="3"/>
  <c r="B23" i="2"/>
  <c r="B21" i="2"/>
  <c r="B20" i="2"/>
  <c r="B14" i="5"/>
  <c r="B14" i="4"/>
  <c r="B5" i="5"/>
  <c r="B4" i="4"/>
  <c r="B4" i="3"/>
  <c r="B19" i="2"/>
  <c r="C81" i="5" l="1"/>
  <c r="C80" i="5"/>
  <c r="C79" i="5"/>
  <c r="C78" i="5"/>
  <c r="C77" i="5"/>
  <c r="B10" i="5"/>
  <c r="A3" i="5"/>
  <c r="C16" i="4"/>
  <c r="C15" i="4"/>
  <c r="C11" i="4"/>
  <c r="A3" i="4"/>
  <c r="B18" i="5"/>
  <c r="B17" i="5"/>
  <c r="B16" i="5"/>
  <c r="B15" i="5"/>
  <c r="A3" i="3"/>
  <c r="B37" i="2"/>
  <c r="B6" i="5"/>
  <c r="B12" i="5"/>
  <c r="B22" i="2"/>
  <c r="B24" i="2" s="1"/>
  <c r="B7" i="5" s="1"/>
  <c r="B17" i="2"/>
  <c r="E54" i="2" s="1"/>
  <c r="E81" i="5" s="1"/>
  <c r="B26" i="2" l="1"/>
  <c r="B9" i="5" s="1"/>
  <c r="B11" i="5"/>
  <c r="B39" i="2"/>
  <c r="B8" i="4" s="1"/>
  <c r="B16" i="4" s="1"/>
  <c r="D16" i="4" s="1"/>
  <c r="D53" i="2"/>
  <c r="D80" i="5" s="1"/>
  <c r="D52" i="2"/>
  <c r="D79" i="5" s="1"/>
  <c r="E52" i="2"/>
  <c r="E79" i="5" s="1"/>
  <c r="D87" i="5"/>
  <c r="D86" i="5"/>
  <c r="B25" i="2"/>
  <c r="C89" i="5"/>
  <c r="C86" i="5"/>
  <c r="C85" i="5"/>
  <c r="D89" i="5"/>
  <c r="D88" i="5"/>
  <c r="D85" i="5"/>
  <c r="D54" i="2"/>
  <c r="D81" i="5" s="1"/>
  <c r="B38" i="2"/>
  <c r="B7" i="4" s="1"/>
  <c r="E53" i="2"/>
  <c r="E80" i="5" s="1"/>
  <c r="D50" i="2"/>
  <c r="D77" i="5" s="1"/>
  <c r="C88" i="5"/>
  <c r="C87" i="5"/>
  <c r="E50" i="2"/>
  <c r="E77" i="5" s="1"/>
  <c r="D51" i="2"/>
  <c r="D78" i="5" s="1"/>
  <c r="E51" i="2"/>
  <c r="E78" i="5" s="1"/>
  <c r="B5" i="4" l="1"/>
  <c r="B11" i="4" s="1"/>
  <c r="D11" i="4" s="1"/>
  <c r="B6" i="4"/>
  <c r="B12" i="4" s="1"/>
  <c r="B8" i="5"/>
  <c r="C12" i="4"/>
  <c r="B15" i="4"/>
  <c r="D15" i="4" s="1"/>
  <c r="D12" i="4" l="1"/>
  <c r="B18" i="4" s="1"/>
  <c r="D69" i="5"/>
  <c r="D64" i="5"/>
  <c r="D59" i="5"/>
  <c r="D54" i="5"/>
  <c r="D49" i="5"/>
  <c r="D44" i="5"/>
  <c r="D39" i="5"/>
  <c r="D34" i="5"/>
  <c r="D70" i="5"/>
  <c r="D65" i="5"/>
  <c r="D60" i="5"/>
  <c r="D55" i="5"/>
  <c r="D50" i="5"/>
  <c r="D45" i="5"/>
  <c r="D40" i="5"/>
  <c r="D35" i="5"/>
  <c r="D72" i="5"/>
  <c r="D67" i="5"/>
  <c r="D62" i="5"/>
  <c r="D57" i="5"/>
  <c r="D52" i="5"/>
  <c r="D47" i="5"/>
  <c r="D42" i="5"/>
  <c r="D37" i="5"/>
  <c r="D68" i="5"/>
  <c r="D61" i="5"/>
  <c r="D58" i="5"/>
  <c r="D36" i="5"/>
  <c r="D33" i="5"/>
  <c r="D51" i="5"/>
  <c r="D48" i="5"/>
  <c r="D71" i="5"/>
  <c r="D46" i="5"/>
  <c r="D43" i="5"/>
  <c r="D66" i="5"/>
  <c r="D56" i="5"/>
  <c r="D53" i="5"/>
  <c r="D63" i="5"/>
  <c r="D41" i="5"/>
  <c r="D38" i="5"/>
  <c r="D73" i="5"/>
  <c r="I38" i="5" l="1"/>
  <c r="E38" i="5"/>
  <c r="F38" i="5" s="1"/>
  <c r="E65" i="5"/>
  <c r="F65" i="5" s="1"/>
  <c r="I65" i="5"/>
  <c r="E41" i="5"/>
  <c r="F41" i="5" s="1"/>
  <c r="I41" i="5"/>
  <c r="I63" i="5"/>
  <c r="E63" i="5"/>
  <c r="F63" i="5" s="1"/>
  <c r="I34" i="5"/>
  <c r="E34" i="5"/>
  <c r="F34" i="5" s="1"/>
  <c r="I39" i="5"/>
  <c r="E39" i="5"/>
  <c r="F39" i="5" s="1"/>
  <c r="E35" i="5"/>
  <c r="F35" i="5" s="1"/>
  <c r="I35" i="5"/>
  <c r="I68" i="5"/>
  <c r="E68" i="5"/>
  <c r="F68" i="5" s="1"/>
  <c r="E46" i="5"/>
  <c r="F46" i="5" s="1"/>
  <c r="I46" i="5"/>
  <c r="E51" i="5"/>
  <c r="F51" i="5" s="1"/>
  <c r="I51" i="5"/>
  <c r="I33" i="5"/>
  <c r="E33" i="5"/>
  <c r="F33" i="5" s="1"/>
  <c r="E70" i="5"/>
  <c r="F70" i="5" s="1"/>
  <c r="I70" i="5"/>
  <c r="I67" i="5"/>
  <c r="E67" i="5"/>
  <c r="F67" i="5" s="1"/>
  <c r="I53" i="5"/>
  <c r="E53" i="5"/>
  <c r="F53" i="5" s="1"/>
  <c r="I72" i="5"/>
  <c r="E72" i="5"/>
  <c r="F72" i="5" s="1"/>
  <c r="E61" i="5"/>
  <c r="F61" i="5" s="1"/>
  <c r="I61" i="5"/>
  <c r="E40" i="5"/>
  <c r="F40" i="5" s="1"/>
  <c r="I40" i="5"/>
  <c r="I37" i="5"/>
  <c r="E37" i="5"/>
  <c r="F37" i="5" s="1"/>
  <c r="I54" i="5"/>
  <c r="E54" i="5"/>
  <c r="F54" i="5" s="1"/>
  <c r="E50" i="5"/>
  <c r="F50" i="5" s="1"/>
  <c r="I50" i="5"/>
  <c r="I47" i="5"/>
  <c r="E47" i="5"/>
  <c r="F47" i="5" s="1"/>
  <c r="E55" i="5"/>
  <c r="F55" i="5" s="1"/>
  <c r="I55" i="5"/>
  <c r="I64" i="5"/>
  <c r="E64" i="5"/>
  <c r="F64" i="5" s="1"/>
  <c r="I57" i="5"/>
  <c r="E57" i="5"/>
  <c r="F57" i="5" s="1"/>
  <c r="I62" i="5"/>
  <c r="E62" i="5"/>
  <c r="F62" i="5" s="1"/>
  <c r="E36" i="5"/>
  <c r="F36" i="5" s="1"/>
  <c r="I36" i="5"/>
  <c r="I58" i="5"/>
  <c r="E58" i="5"/>
  <c r="F58" i="5" s="1"/>
  <c r="E56" i="5"/>
  <c r="F56" i="5" s="1"/>
  <c r="I56" i="5"/>
  <c r="I44" i="5"/>
  <c r="E44" i="5"/>
  <c r="F44" i="5" s="1"/>
  <c r="E66" i="5"/>
  <c r="F66" i="5" s="1"/>
  <c r="I66" i="5"/>
  <c r="I49" i="5"/>
  <c r="E49" i="5"/>
  <c r="F49" i="5" s="1"/>
  <c r="I43" i="5"/>
  <c r="E43" i="5"/>
  <c r="F43" i="5" s="1"/>
  <c r="E45" i="5"/>
  <c r="F45" i="5" s="1"/>
  <c r="I45" i="5"/>
  <c r="I42" i="5"/>
  <c r="E42" i="5"/>
  <c r="F42" i="5" s="1"/>
  <c r="I59" i="5"/>
  <c r="E59" i="5"/>
  <c r="F59" i="5" s="1"/>
  <c r="E71" i="5"/>
  <c r="F71" i="5" s="1"/>
  <c r="I71" i="5"/>
  <c r="I73" i="5"/>
  <c r="E73" i="5"/>
  <c r="F73" i="5" s="1"/>
  <c r="I48" i="5"/>
  <c r="E48" i="5"/>
  <c r="F48" i="5" s="1"/>
  <c r="I52" i="5"/>
  <c r="E52" i="5"/>
  <c r="F52" i="5" s="1"/>
  <c r="E60" i="5"/>
  <c r="F60" i="5" s="1"/>
  <c r="I60" i="5"/>
  <c r="I69" i="5"/>
  <c r="E69" i="5"/>
  <c r="F69" i="5" s="1"/>
  <c r="H51" i="5" l="1"/>
  <c r="K51" i="5" s="1"/>
  <c r="G51" i="5"/>
  <c r="J51" i="5" s="1"/>
  <c r="H59" i="5"/>
  <c r="K59" i="5" s="1"/>
  <c r="G59" i="5"/>
  <c r="J59" i="5" s="1"/>
  <c r="H72" i="5"/>
  <c r="K72" i="5" s="1"/>
  <c r="G72" i="5"/>
  <c r="J72" i="5" s="1"/>
  <c r="H60" i="5"/>
  <c r="K60" i="5" s="1"/>
  <c r="G60" i="5"/>
  <c r="J60" i="5" s="1"/>
  <c r="H50" i="5"/>
  <c r="K50" i="5" s="1"/>
  <c r="G50" i="5"/>
  <c r="J50" i="5" s="1"/>
  <c r="H52" i="5"/>
  <c r="K52" i="5" s="1"/>
  <c r="G52" i="5"/>
  <c r="J52" i="5" s="1"/>
  <c r="H57" i="5"/>
  <c r="K57" i="5" s="1"/>
  <c r="G57" i="5"/>
  <c r="J57" i="5" s="1"/>
  <c r="G63" i="5"/>
  <c r="J63" i="5" s="1"/>
  <c r="H63" i="5"/>
  <c r="K63" i="5" s="1"/>
  <c r="H64" i="5"/>
  <c r="K64" i="5" s="1"/>
  <c r="G64" i="5"/>
  <c r="J64" i="5" s="1"/>
  <c r="G68" i="5"/>
  <c r="J68" i="5" s="1"/>
  <c r="H68" i="5"/>
  <c r="K68" i="5" s="1"/>
  <c r="H56" i="5"/>
  <c r="K56" i="5" s="1"/>
  <c r="G56" i="5"/>
  <c r="J56" i="5" s="1"/>
  <c r="H41" i="5"/>
  <c r="K41" i="5" s="1"/>
  <c r="G41" i="5"/>
  <c r="J41" i="5" s="1"/>
  <c r="G43" i="5"/>
  <c r="J43" i="5" s="1"/>
  <c r="H43" i="5"/>
  <c r="K43" i="5" s="1"/>
  <c r="H40" i="5"/>
  <c r="K40" i="5" s="1"/>
  <c r="G40" i="5"/>
  <c r="J40" i="5" s="1"/>
  <c r="H70" i="5"/>
  <c r="K70" i="5" s="1"/>
  <c r="G70" i="5"/>
  <c r="J70" i="5" s="1"/>
  <c r="H35" i="5"/>
  <c r="K35" i="5" s="1"/>
  <c r="G35" i="5"/>
  <c r="J35" i="5" s="1"/>
  <c r="H65" i="5"/>
  <c r="K65" i="5" s="1"/>
  <c r="G65" i="5"/>
  <c r="J65" i="5" s="1"/>
  <c r="H44" i="5"/>
  <c r="K44" i="5" s="1"/>
  <c r="G44" i="5"/>
  <c r="J44" i="5" s="1"/>
  <c r="G53" i="5"/>
  <c r="J53" i="5" s="1"/>
  <c r="H53" i="5"/>
  <c r="K53" i="5" s="1"/>
  <c r="G48" i="5"/>
  <c r="J48" i="5" s="1"/>
  <c r="H48" i="5"/>
  <c r="K48" i="5" s="1"/>
  <c r="H67" i="5"/>
  <c r="K67" i="5" s="1"/>
  <c r="G67" i="5"/>
  <c r="J67" i="5" s="1"/>
  <c r="H45" i="5"/>
  <c r="K45" i="5" s="1"/>
  <c r="G45" i="5"/>
  <c r="J45" i="5" s="1"/>
  <c r="G73" i="5"/>
  <c r="J73" i="5" s="1"/>
  <c r="H73" i="5"/>
  <c r="K73" i="5" s="1"/>
  <c r="H69" i="5"/>
  <c r="K69" i="5" s="1"/>
  <c r="G69" i="5"/>
  <c r="J69" i="5" s="1"/>
  <c r="H49" i="5"/>
  <c r="K49" i="5" s="1"/>
  <c r="G49" i="5"/>
  <c r="J49" i="5" s="1"/>
  <c r="H47" i="5"/>
  <c r="K47" i="5" s="1"/>
  <c r="G47" i="5"/>
  <c r="J47" i="5" s="1"/>
  <c r="G33" i="5"/>
  <c r="J33" i="5" s="1"/>
  <c r="H33" i="5"/>
  <c r="K33" i="5" s="1"/>
  <c r="H39" i="5"/>
  <c r="K39" i="5" s="1"/>
  <c r="G39" i="5"/>
  <c r="J39" i="5" s="1"/>
  <c r="G38" i="5"/>
  <c r="J38" i="5" s="1"/>
  <c r="H38" i="5"/>
  <c r="K38" i="5" s="1"/>
  <c r="H62" i="5"/>
  <c r="K62" i="5" s="1"/>
  <c r="G62" i="5"/>
  <c r="J62" i="5" s="1"/>
  <c r="H34" i="5"/>
  <c r="K34" i="5" s="1"/>
  <c r="G34" i="5"/>
  <c r="J34" i="5" s="1"/>
  <c r="H66" i="5"/>
  <c r="K66" i="5" s="1"/>
  <c r="G66" i="5"/>
  <c r="J66" i="5" s="1"/>
  <c r="H42" i="5"/>
  <c r="K42" i="5" s="1"/>
  <c r="G42" i="5"/>
  <c r="J42" i="5" s="1"/>
  <c r="H54" i="5"/>
  <c r="K54" i="5" s="1"/>
  <c r="G54" i="5"/>
  <c r="J54" i="5" s="1"/>
  <c r="H46" i="5"/>
  <c r="K46" i="5" s="1"/>
  <c r="G46" i="5"/>
  <c r="J46" i="5" s="1"/>
  <c r="H37" i="5"/>
  <c r="K37" i="5" s="1"/>
  <c r="G37" i="5"/>
  <c r="J37" i="5" s="1"/>
  <c r="G58" i="5"/>
  <c r="J58" i="5" s="1"/>
  <c r="H58" i="5"/>
  <c r="K58" i="5" s="1"/>
  <c r="G55" i="5"/>
  <c r="J55" i="5" s="1"/>
  <c r="H55" i="5"/>
  <c r="K55" i="5" s="1"/>
  <c r="H71" i="5"/>
  <c r="K71" i="5" s="1"/>
  <c r="G71" i="5"/>
  <c r="J71" i="5" s="1"/>
  <c r="H36" i="5"/>
  <c r="K36" i="5" s="1"/>
  <c r="G36" i="5"/>
  <c r="J36" i="5" s="1"/>
  <c r="H61" i="5"/>
  <c r="K61" i="5" s="1"/>
  <c r="G61" i="5"/>
  <c r="J61" i="5" s="1"/>
</calcChain>
</file>

<file path=xl/sharedStrings.xml><?xml version="1.0" encoding="utf-8"?>
<sst xmlns="http://schemas.openxmlformats.org/spreadsheetml/2006/main" count="182" uniqueCount="154">
  <si>
    <t>CASING DESIGN LIMIT CHECK – based on v6 (Quadratic VME) + revisions + CwD/SET overload cases</t>
  </si>
  <si>
    <t>Revision 6H | 18 Aug 2026 | Builds on v6 quadratic method, flexible Inputs, casing reminders</t>
  </si>
  <si>
    <t>FULL REVISION LOG</t>
  </si>
  <si>
    <t>Rev</t>
  </si>
  <si>
    <t>Date</t>
  </si>
  <si>
    <t>Change attempted</t>
  </si>
  <si>
    <t>Result / note</t>
  </si>
  <si>
    <t>1</t>
  </si>
  <si>
    <t>17 Aug</t>
  </si>
  <si>
    <t>First Design Limit Check (pipe body only)</t>
  </si>
  <si>
    <t>Baseline</t>
  </si>
  <si>
    <t>2</t>
  </si>
  <si>
    <t>Connection tab + typical connections</t>
  </si>
  <si>
    <t>OK</t>
  </si>
  <si>
    <t>3</t>
  </si>
  <si>
    <t>Casing example selector + VME chart</t>
  </si>
  <si>
    <t>4</t>
  </si>
  <si>
    <t>Parametric inclined ellipse + connection envelope</t>
  </si>
  <si>
    <t>Ellipse collapsed to line in real units</t>
  </si>
  <si>
    <t>5</t>
  </si>
  <si>
    <t>Normalized parametric + Units toggle</t>
  </si>
  <si>
    <t>Tilt still weak / toggle fragile</t>
  </si>
  <si>
    <t>6</t>
  </si>
  <si>
    <t>Quadratic VME solution + flexible Inputs</t>
  </si>
  <si>
    <t>Best mathematical basis; user extended with VLOOKUP-style selection</t>
  </si>
  <si>
    <t>6H</t>
  </si>
  <si>
    <t>18 Aug</t>
  </si>
  <si>
    <t>THIS FILE – v6 base + revision log + CwD/SET overload cases that exceed weaker envelopes</t>
  </si>
  <si>
    <t>Current</t>
  </si>
  <si>
    <t>7–10</t>
  </si>
  <si>
    <t>17–18 Aug</t>
  </si>
  <si>
    <t>Toggle / both-ellipses experiments</t>
  </si>
  <si>
    <t>Abandoned for production; v6 quadratic kept as reference</t>
  </si>
  <si>
    <t>FINAL</t>
  </si>
  <si>
    <t>Screening Excel + classic Python VME plot</t>
  </si>
  <si>
    <t>Companion tools</t>
  </si>
  <si>
    <t>METHOD (from v6)</t>
  </si>
  <si>
    <t>Ellipse generated by solving the von Mises quadratic:  σa² + σh² – σa·σh = Yp²</t>
  </si>
  <si>
    <t>For each Axial Force, the two ΔP branches (upper &amp; lower) are calculated → classic inclined shape.</t>
  </si>
  <si>
    <t>Connection shown as rectangular cut-offs (factored tension / compression / Pi / Pe) on the same axes.</t>
  </si>
  <si>
    <t>CwD and SET modes amplify the applied loads; Design Factors stay constant. Overload cases are provided that exceed weaker casing/thread envelopes.</t>
  </si>
  <si>
    <t>HOW TO USE</t>
  </si>
  <si>
    <t>1. Sheet 1_Inputs – select casing (or Custom), set Mode (Standard / CwD / SET), enter base loads and DFs</t>
  </si>
  <si>
    <t>2. Sheet 2_Connection – select connection or Custom</t>
  </si>
  <si>
    <t>3. Sheet 3_Results – review SF and PASS/FAIL for pipe and connection</t>
  </si>
  <si>
    <t>4. Sheet 4_VME_Plot – quadratic points + connection rectangle + overload markers (CwD / SET)</t>
  </si>
  <si>
    <t>Casing under study is recalled at the top of each calculation sheet.</t>
  </si>
  <si>
    <t>TUBULAR DATA &amp; LOAD CASE</t>
  </si>
  <si>
    <t>EXAMPLE CASING</t>
  </si>
  <si>
    <t>Select example</t>
  </si>
  <si>
    <t>7in 29ppf L80</t>
  </si>
  <si>
    <t>Changing this updates OD / t / Yp below</t>
  </si>
  <si>
    <t>Database</t>
  </si>
  <si>
    <t>Casing</t>
  </si>
  <si>
    <t>OD (in)</t>
  </si>
  <si>
    <t>t (in)</t>
  </si>
  <si>
    <t>Yp (psi)</t>
  </si>
  <si>
    <t>7in 32ppf P110</t>
  </si>
  <si>
    <t>9-5/8in 47ppf L80</t>
  </si>
  <si>
    <t>9-5/8in 53.5ppf P110</t>
  </si>
  <si>
    <t>13-3/8in 68ppf K55</t>
  </si>
  <si>
    <t>MODE</t>
  </si>
  <si>
    <t>Application Mode</t>
  </si>
  <si>
    <t>Standard</t>
  </si>
  <si>
    <t>Amplification</t>
  </si>
  <si>
    <t>CwD 1.35 | SET 1.25 (screening hypothesis)</t>
  </si>
  <si>
    <t>ACTIVE TUBULAR (auto from selector or Custom)</t>
  </si>
  <si>
    <t>ID (in)</t>
  </si>
  <si>
    <t>Area (in²)</t>
  </si>
  <si>
    <t>Fa_yield (lbf)</t>
  </si>
  <si>
    <t>pb Barlow (psi)</t>
  </si>
  <si>
    <t>CUSTOM (when Casing = Custom)</t>
  </si>
  <si>
    <t>Custom OD (in)</t>
  </si>
  <si>
    <t>Custom t (in)</t>
  </si>
  <si>
    <t>Custom Yp (psi)</t>
  </si>
  <si>
    <t>Axial Force (lbf) [+ = tension]</t>
  </si>
  <si>
    <t>Pi (psi)</t>
  </si>
  <si>
    <t>Pe (psi)</t>
  </si>
  <si>
    <t>ΔP (psi)</t>
  </si>
  <si>
    <t>Amplified Axial (lbf)</t>
  </si>
  <si>
    <t>Amplified ΔP (psi)</t>
  </si>
  <si>
    <t>PIPE DF</t>
  </si>
  <si>
    <t>DF Burst</t>
  </si>
  <si>
    <t>DF Collapse</t>
  </si>
  <si>
    <t>DF Axial T</t>
  </si>
  <si>
    <t>DF Axial C</t>
  </si>
  <si>
    <t>DF Triaxial</t>
  </si>
  <si>
    <t>OVERLOAD CASES (for visualisation – exceed weaker casing/thread)</t>
  </si>
  <si>
    <t>Case</t>
  </si>
  <si>
    <t>Fa (lbf)</t>
  </si>
  <si>
    <t>Amplified Fa</t>
  </si>
  <si>
    <t>Amplified ΔP</t>
  </si>
  <si>
    <t>Service – normal</t>
  </si>
  <si>
    <t>CwD – elevated torque/drag</t>
  </si>
  <si>
    <t>CwD – severe (exceeds L80/BTC)</t>
  </si>
  <si>
    <t>SET – post-expansion residual</t>
  </si>
  <si>
    <t>SET – expansion peak (severe)</t>
  </si>
  <si>
    <t>Note: CwD severe and SET expansion peak are sized to fall outside typical L80 + BTC envelopes while remaining inside high-capacity P110 + premium envelopes.</t>
  </si>
  <si>
    <t>CONNECTION SELECTION</t>
  </si>
  <si>
    <t>Connection choice</t>
  </si>
  <si>
    <t>BTC (standard)</t>
  </si>
  <si>
    <t>TYPICAL DATABASE (illustrative)</t>
  </si>
  <si>
    <t>Type</t>
  </si>
  <si>
    <t>Tension (lbf)</t>
  </si>
  <si>
    <t>Compression (lbf)</t>
  </si>
  <si>
    <t>Premium Metal-to-Metal</t>
  </si>
  <si>
    <t>High-Torque Expandable</t>
  </si>
  <si>
    <t>ACTIVE VALUES</t>
  </si>
  <si>
    <t>CUSTOM</t>
  </si>
  <si>
    <t>Custom Tension</t>
  </si>
  <si>
    <t>Custom Compression</t>
  </si>
  <si>
    <t>Custom Pi</t>
  </si>
  <si>
    <t>Custom Pe</t>
  </si>
  <si>
    <t>CONNECTION DF</t>
  </si>
  <si>
    <t>DF Tension</t>
  </si>
  <si>
    <t>DF Compression</t>
  </si>
  <si>
    <t>DF Pressure</t>
  </si>
  <si>
    <t>RESULTS – PIPE + CONNECTION</t>
  </si>
  <si>
    <t>Pipe Burst (psi)</t>
  </si>
  <si>
    <t>Pipe Axial Yield (lbf)</t>
  </si>
  <si>
    <t>Amplified Axial</t>
  </si>
  <si>
    <t>PIPE SF</t>
  </si>
  <si>
    <t>Burst SF</t>
  </si>
  <si>
    <t>Axial SF</t>
  </si>
  <si>
    <t>CONNECTION SF</t>
  </si>
  <si>
    <t>Conn Tension SF</t>
  </si>
  <si>
    <t>Conn Pressure SF</t>
  </si>
  <si>
    <t>VME DESIGN LIMIT PLOT – Quadratic solution + CwD/SET overload markers</t>
  </si>
  <si>
    <t>Pipe parameters</t>
  </si>
  <si>
    <t>pb (psi)</t>
  </si>
  <si>
    <t>DF triaxial</t>
  </si>
  <si>
    <t>Connection cut-offs (factored)</t>
  </si>
  <si>
    <t>Conn T (lbf)</t>
  </si>
  <si>
    <t>Conn C (lbf)</t>
  </si>
  <si>
    <t>Conn Pi (psi)</t>
  </si>
  <si>
    <t>Conn Pe (psi)</t>
  </si>
  <si>
    <t>QUADRATIC VME POINTS (exact solution)</t>
  </si>
  <si>
    <t>i</t>
  </si>
  <si>
    <t>Fa_lbf</t>
  </si>
  <si>
    <t>sigma_a</t>
  </si>
  <si>
    <t>Disc</t>
  </si>
  <si>
    <t>DP_upper</t>
  </si>
  <si>
    <t>DP_lower</t>
  </si>
  <si>
    <t>Fa_DF</t>
  </si>
  <si>
    <t>DP_up_DF</t>
  </si>
  <si>
    <t>DP_lo_DF</t>
  </si>
  <si>
    <t>OVERLOAD / SERVICE MARKERS (amplified Fa, ΔP)</t>
  </si>
  <si>
    <t>Fa_amp</t>
  </si>
  <si>
    <t>ΔP_amp</t>
  </si>
  <si>
    <t>CONNECTION RECTANGLE</t>
  </si>
  <si>
    <t>Axial</t>
  </si>
  <si>
    <t>ΔP</t>
  </si>
  <si>
    <t>BASE LOAD CASE +</t>
  </si>
  <si>
    <t>Custom connection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</si>
</sst>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"/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13"/>
      <color rgb="FF1F4E79"/>
      <name val="Calibri"/>
      <family val="2"/>
    </font>
    <font>
      <i/>
      <sz val="9"/>
      <color rgb="FF666666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1F4E79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3" borderId="1" xfId="0" applyFont="1" applyFill="1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4" fillId="3" borderId="0" xfId="0" applyFont="1" applyFill="1"/>
    <xf numFmtId="164" fontId="0" fillId="0" borderId="1" xfId="0" applyNumberFormat="1" applyBorder="1"/>
    <xf numFmtId="3" fontId="0" fillId="0" borderId="1" xfId="0" applyNumberFormat="1" applyBorder="1"/>
    <xf numFmtId="2" fontId="0" fillId="4" borderId="1" xfId="0" applyNumberFormat="1" applyFill="1" applyBorder="1"/>
    <xf numFmtId="164" fontId="0" fillId="4" borderId="1" xfId="0" applyNumberFormat="1" applyFill="1" applyBorder="1"/>
    <xf numFmtId="3" fontId="0" fillId="4" borderId="1" xfId="0" applyNumberFormat="1" applyFill="1" applyBorder="1"/>
    <xf numFmtId="165" fontId="0" fillId="4" borderId="1" xfId="0" applyNumberFormat="1" applyFill="1" applyBorder="1"/>
    <xf numFmtId="164" fontId="0" fillId="5" borderId="1" xfId="0" applyNumberFormat="1" applyFill="1" applyBorder="1"/>
    <xf numFmtId="3" fontId="0" fillId="5" borderId="1" xfId="0" applyNumberFormat="1" applyFill="1" applyBorder="1"/>
    <xf numFmtId="2" fontId="0" fillId="5" borderId="1" xfId="0" applyNumberFormat="1" applyFill="1" applyBorder="1"/>
    <xf numFmtId="0" fontId="5" fillId="0" borderId="0" xfId="0" applyFont="1"/>
    <xf numFmtId="3" fontId="0" fillId="6" borderId="1" xfId="0" applyNumberFormat="1" applyFill="1" applyBorder="1"/>
    <xf numFmtId="2" fontId="0" fillId="0" borderId="0" xfId="0" applyNumberFormat="1"/>
    <xf numFmtId="0" fontId="6" fillId="4" borderId="1" xfId="0" applyFont="1" applyFill="1" applyBorder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1" xfId="0" applyNumberFormat="1" applyBorder="1"/>
    <xf numFmtId="0" fontId="0" fillId="3" borderId="0" xfId="0" applyFill="1"/>
    <xf numFmtId="165" fontId="0" fillId="0" borderId="1" xfId="0" applyNumberFormat="1" applyBorder="1"/>
    <xf numFmtId="3" fontId="0" fillId="4" borderId="0" xfId="0" applyNumberFormat="1" applyFill="1" applyAlignment="1">
      <alignment horizontal="center"/>
    </xf>
    <xf numFmtId="0" fontId="1" fillId="0" borderId="0" xfId="0" applyFont="1"/>
    <xf numFmtId="0" fontId="0" fillId="0" borderId="0" xfId="0"/>
    <xf numFmtId="0" fontId="3" fillId="2" borderId="0" xfId="0" applyFont="1" applyFill="1"/>
    <xf numFmtId="0" fontId="2" fillId="0" borderId="0" xfId="0" applyFont="1"/>
    <xf numFmtId="0" fontId="4" fillId="3" borderId="0" xfId="0" applyFont="1" applyFill="1"/>
    <xf numFmtId="0" fontId="5" fillId="0" borderId="0" xfId="0" applyFont="1"/>
  </cellXfs>
  <cellStyles count="1">
    <cellStyle name="Normal" xfId="0" builtinId="0"/>
  </cellStyles>
  <dxfs count="4"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VME Quadratic – Yield / DF + Connection + Overload markers</a:t>
            </a:r>
          </a:p>
        </c:rich>
      </c:tx>
      <c:overlay val="1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v>Yield Upper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plot'!$D$33:$D$73</c:f>
              <c:numCache>
                <c:formatCode>0.0</c:formatCode>
                <c:ptCount val="41"/>
                <c:pt idx="0">
                  <c:v>-675954.12313322234</c:v>
                </c:pt>
                <c:pt idx="1">
                  <c:v>-642156.41697656119</c:v>
                </c:pt>
                <c:pt idx="2">
                  <c:v>-608358.71081990015</c:v>
                </c:pt>
                <c:pt idx="3">
                  <c:v>-574561.004663239</c:v>
                </c:pt>
                <c:pt idx="4">
                  <c:v>-540763.29850657785</c:v>
                </c:pt>
                <c:pt idx="5">
                  <c:v>-506965.59234991675</c:v>
                </c:pt>
                <c:pt idx="6">
                  <c:v>-473167.8861932556</c:v>
                </c:pt>
                <c:pt idx="7">
                  <c:v>-439370.18003659451</c:v>
                </c:pt>
                <c:pt idx="8">
                  <c:v>-405572.47387993342</c:v>
                </c:pt>
                <c:pt idx="9">
                  <c:v>-371774.76772327232</c:v>
                </c:pt>
                <c:pt idx="10">
                  <c:v>-337977.06156661117</c:v>
                </c:pt>
                <c:pt idx="11">
                  <c:v>-304179.35540994938</c:v>
                </c:pt>
                <c:pt idx="12">
                  <c:v>-270381.64925328892</c:v>
                </c:pt>
                <c:pt idx="13">
                  <c:v>-236583.9430966278</c:v>
                </c:pt>
                <c:pt idx="14">
                  <c:v>-202786.23693996671</c:v>
                </c:pt>
                <c:pt idx="15">
                  <c:v>-168988.53078330558</c:v>
                </c:pt>
                <c:pt idx="16">
                  <c:v>-135190.82462664379</c:v>
                </c:pt>
                <c:pt idx="17">
                  <c:v>-101393.11846998335</c:v>
                </c:pt>
                <c:pt idx="18">
                  <c:v>-67595.412313322158</c:v>
                </c:pt>
                <c:pt idx="19">
                  <c:v>-33797.706156661116</c:v>
                </c:pt>
                <c:pt idx="20">
                  <c:v>0</c:v>
                </c:pt>
                <c:pt idx="21">
                  <c:v>33797.706156661116</c:v>
                </c:pt>
                <c:pt idx="22">
                  <c:v>67595.412313322231</c:v>
                </c:pt>
                <c:pt idx="23">
                  <c:v>101393.11846998267</c:v>
                </c:pt>
                <c:pt idx="24">
                  <c:v>135190.82462664379</c:v>
                </c:pt>
                <c:pt idx="25">
                  <c:v>168988.53078330558</c:v>
                </c:pt>
                <c:pt idx="26">
                  <c:v>202786.23693996671</c:v>
                </c:pt>
                <c:pt idx="27">
                  <c:v>236583.9430966278</c:v>
                </c:pt>
                <c:pt idx="28">
                  <c:v>270381.64925328828</c:v>
                </c:pt>
                <c:pt idx="29">
                  <c:v>304179.35540994938</c:v>
                </c:pt>
                <c:pt idx="30">
                  <c:v>337977.06156661117</c:v>
                </c:pt>
                <c:pt idx="31">
                  <c:v>371774.76772327232</c:v>
                </c:pt>
                <c:pt idx="32">
                  <c:v>405572.47387993342</c:v>
                </c:pt>
                <c:pt idx="33">
                  <c:v>439370.18003659387</c:v>
                </c:pt>
                <c:pt idx="34">
                  <c:v>473167.8861932556</c:v>
                </c:pt>
                <c:pt idx="35">
                  <c:v>506965.59234991675</c:v>
                </c:pt>
                <c:pt idx="36">
                  <c:v>540763.29850657785</c:v>
                </c:pt>
                <c:pt idx="37">
                  <c:v>574561.004663239</c:v>
                </c:pt>
                <c:pt idx="38">
                  <c:v>608358.71081989945</c:v>
                </c:pt>
                <c:pt idx="39">
                  <c:v>642156.41697656119</c:v>
                </c:pt>
                <c:pt idx="40">
                  <c:v>675954.12313322234</c:v>
                </c:pt>
              </c:numCache>
            </c:numRef>
          </c:xVal>
          <c:yVal>
            <c:numRef>
              <c:f>'4_VME_data plot'!$G$33:$G$73</c:f>
              <c:numCache>
                <c:formatCode>0.0</c:formatCode>
                <c:ptCount val="41"/>
                <c:pt idx="0">
                  <c:v>0</c:v>
                </c:pt>
                <c:pt idx="1">
                  <c:v>871.40267013490904</c:v>
                </c:pt>
                <c:pt idx="2">
                  <c:v>1645.9718253094838</c:v>
                </c:pt>
                <c:pt idx="3">
                  <c:v>2348.6747877003427</c:v>
                </c:pt>
                <c:pt idx="4">
                  <c:v>2994.5824932082637</c:v>
                </c:pt>
                <c:pt idx="5">
                  <c:v>3593.6203210333515</c:v>
                </c:pt>
                <c:pt idx="6">
                  <c:v>4152.7283177136469</c:v>
                </c:pt>
                <c:pt idx="7">
                  <c:v>4676.9740616744548</c:v>
                </c:pt>
                <c:pt idx="8">
                  <c:v>5170.1794927761212</c:v>
                </c:pt>
                <c:pt idx="9">
                  <c:v>5635.2985156435889</c:v>
                </c:pt>
                <c:pt idx="10">
                  <c:v>6074.6566879389002</c:v>
                </c:pt>
                <c:pt idx="11">
                  <c:v>6490.1098356670882</c:v>
                </c:pt>
                <c:pt idx="12">
                  <c:v>6883.1525943220995</c:v>
                </c:pt>
                <c:pt idx="13">
                  <c:v>7254.9947079299818</c:v>
                </c:pt>
                <c:pt idx="14">
                  <c:v>7606.6158053232111</c:v>
                </c:pt>
                <c:pt idx="15">
                  <c:v>7938.8053364854713</c:v>
                </c:pt>
                <c:pt idx="16">
                  <c:v>8252.1919614464296</c:v>
                </c:pt>
                <c:pt idx="17">
                  <c:v>8547.2652138756475</c:v>
                </c:pt>
                <c:pt idx="18">
                  <c:v>8824.3913243770057</c:v>
                </c:pt>
                <c:pt idx="19">
                  <c:v>9083.8244693677007</c:v>
                </c:pt>
                <c:pt idx="20">
                  <c:v>9325.7142857142844</c:v>
                </c:pt>
                <c:pt idx="21">
                  <c:v>9550.1101836534144</c:v>
                </c:pt>
                <c:pt idx="22">
                  <c:v>9756.9627529484333</c:v>
                </c:pt>
                <c:pt idx="23">
                  <c:v>9946.122356732787</c:v>
                </c:pt>
                <c:pt idx="24">
                  <c:v>10117.334818589277</c:v>
                </c:pt>
                <c:pt idx="25">
                  <c:v>10270.233907914042</c:v>
                </c:pt>
                <c:pt idx="26">
                  <c:v>10404.330091037496</c:v>
                </c:pt>
                <c:pt idx="27">
                  <c:v>10518.994707929982</c:v>
                </c:pt>
                <c:pt idx="28">
                  <c:v>10613.438308607811</c:v>
                </c:pt>
                <c:pt idx="29">
                  <c:v>10686.681264238507</c:v>
                </c:pt>
                <c:pt idx="30">
                  <c:v>10737.513830796042</c:v>
                </c:pt>
                <c:pt idx="31">
                  <c:v>10764.441372786447</c:v>
                </c:pt>
                <c:pt idx="32">
                  <c:v>10765.608064204691</c:v>
                </c:pt>
                <c:pt idx="33">
                  <c:v>10738.688347388743</c:v>
                </c:pt>
                <c:pt idx="34">
                  <c:v>10680.728317713647</c:v>
                </c:pt>
                <c:pt idx="35">
                  <c:v>10587.906035319067</c:v>
                </c:pt>
                <c:pt idx="36">
                  <c:v>10455.153921779691</c:v>
                </c:pt>
                <c:pt idx="37">
                  <c:v>10275.531930557485</c:v>
                </c:pt>
                <c:pt idx="38">
                  <c:v>10039.114682452348</c:v>
                </c:pt>
                <c:pt idx="39">
                  <c:v>9730.8312415634791</c:v>
                </c:pt>
                <c:pt idx="40">
                  <c:v>9325.7142857142844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C02-C940-9084-687EB0424BDC}"/>
            </c:ext>
          </c:extLst>
        </c:ser>
        <c:ser>
          <c:idx val="1"/>
          <c:order val="1"/>
          <c:tx>
            <c:v>Yield Lower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plot'!$D$33:$D$73</c:f>
              <c:numCache>
                <c:formatCode>0.0</c:formatCode>
                <c:ptCount val="41"/>
                <c:pt idx="0">
                  <c:v>-675954.12313322234</c:v>
                </c:pt>
                <c:pt idx="1">
                  <c:v>-642156.41697656119</c:v>
                </c:pt>
                <c:pt idx="2">
                  <c:v>-608358.71081990015</c:v>
                </c:pt>
                <c:pt idx="3">
                  <c:v>-574561.004663239</c:v>
                </c:pt>
                <c:pt idx="4">
                  <c:v>-540763.29850657785</c:v>
                </c:pt>
                <c:pt idx="5">
                  <c:v>-506965.59234991675</c:v>
                </c:pt>
                <c:pt idx="6">
                  <c:v>-473167.8861932556</c:v>
                </c:pt>
                <c:pt idx="7">
                  <c:v>-439370.18003659451</c:v>
                </c:pt>
                <c:pt idx="8">
                  <c:v>-405572.47387993342</c:v>
                </c:pt>
                <c:pt idx="9">
                  <c:v>-371774.76772327232</c:v>
                </c:pt>
                <c:pt idx="10">
                  <c:v>-337977.06156661117</c:v>
                </c:pt>
                <c:pt idx="11">
                  <c:v>-304179.35540994938</c:v>
                </c:pt>
                <c:pt idx="12">
                  <c:v>-270381.64925328892</c:v>
                </c:pt>
                <c:pt idx="13">
                  <c:v>-236583.9430966278</c:v>
                </c:pt>
                <c:pt idx="14">
                  <c:v>-202786.23693996671</c:v>
                </c:pt>
                <c:pt idx="15">
                  <c:v>-168988.53078330558</c:v>
                </c:pt>
                <c:pt idx="16">
                  <c:v>-135190.82462664379</c:v>
                </c:pt>
                <c:pt idx="17">
                  <c:v>-101393.11846998335</c:v>
                </c:pt>
                <c:pt idx="18">
                  <c:v>-67595.412313322158</c:v>
                </c:pt>
                <c:pt idx="19">
                  <c:v>-33797.706156661116</c:v>
                </c:pt>
                <c:pt idx="20">
                  <c:v>0</c:v>
                </c:pt>
                <c:pt idx="21">
                  <c:v>33797.706156661116</c:v>
                </c:pt>
                <c:pt idx="22">
                  <c:v>67595.412313322231</c:v>
                </c:pt>
                <c:pt idx="23">
                  <c:v>101393.11846998267</c:v>
                </c:pt>
                <c:pt idx="24">
                  <c:v>135190.82462664379</c:v>
                </c:pt>
                <c:pt idx="25">
                  <c:v>168988.53078330558</c:v>
                </c:pt>
                <c:pt idx="26">
                  <c:v>202786.23693996671</c:v>
                </c:pt>
                <c:pt idx="27">
                  <c:v>236583.9430966278</c:v>
                </c:pt>
                <c:pt idx="28">
                  <c:v>270381.64925328828</c:v>
                </c:pt>
                <c:pt idx="29">
                  <c:v>304179.35540994938</c:v>
                </c:pt>
                <c:pt idx="30">
                  <c:v>337977.06156661117</c:v>
                </c:pt>
                <c:pt idx="31">
                  <c:v>371774.76772327232</c:v>
                </c:pt>
                <c:pt idx="32">
                  <c:v>405572.47387993342</c:v>
                </c:pt>
                <c:pt idx="33">
                  <c:v>439370.18003659387</c:v>
                </c:pt>
                <c:pt idx="34">
                  <c:v>473167.8861932556</c:v>
                </c:pt>
                <c:pt idx="35">
                  <c:v>506965.59234991675</c:v>
                </c:pt>
                <c:pt idx="36">
                  <c:v>540763.29850657785</c:v>
                </c:pt>
                <c:pt idx="37">
                  <c:v>574561.004663239</c:v>
                </c:pt>
                <c:pt idx="38">
                  <c:v>608358.71081989945</c:v>
                </c:pt>
                <c:pt idx="39">
                  <c:v>642156.41697656119</c:v>
                </c:pt>
                <c:pt idx="40">
                  <c:v>675954.12313322234</c:v>
                </c:pt>
              </c:numCache>
            </c:numRef>
          </c:xVal>
          <c:yVal>
            <c:numRef>
              <c:f>'4_VME_data plot'!$H$33:$H$73</c:f>
              <c:numCache>
                <c:formatCode>0.0</c:formatCode>
                <c:ptCount val="41"/>
                <c:pt idx="0">
                  <c:v>-9325.7142857142844</c:v>
                </c:pt>
                <c:pt idx="1">
                  <c:v>-9730.8312415634791</c:v>
                </c:pt>
                <c:pt idx="2">
                  <c:v>-10039.114682452342</c:v>
                </c:pt>
                <c:pt idx="3">
                  <c:v>-10275.531930557485</c:v>
                </c:pt>
                <c:pt idx="4">
                  <c:v>-10455.153921779691</c:v>
                </c:pt>
                <c:pt idx="5">
                  <c:v>-10587.906035319067</c:v>
                </c:pt>
                <c:pt idx="6">
                  <c:v>-10680.728317713647</c:v>
                </c:pt>
                <c:pt idx="7">
                  <c:v>-10738.688347388741</c:v>
                </c:pt>
                <c:pt idx="8">
                  <c:v>-10765.608064204691</c:v>
                </c:pt>
                <c:pt idx="9">
                  <c:v>-10764.441372786447</c:v>
                </c:pt>
                <c:pt idx="10">
                  <c:v>-10737.513830796042</c:v>
                </c:pt>
                <c:pt idx="11">
                  <c:v>-10686.681264238507</c:v>
                </c:pt>
                <c:pt idx="12">
                  <c:v>-10613.438308607812</c:v>
                </c:pt>
                <c:pt idx="13">
                  <c:v>-10518.994707929982</c:v>
                </c:pt>
                <c:pt idx="14">
                  <c:v>-10404.330091037496</c:v>
                </c:pt>
                <c:pt idx="15">
                  <c:v>-10270.233907914042</c:v>
                </c:pt>
                <c:pt idx="16">
                  <c:v>-10117.334818589277</c:v>
                </c:pt>
                <c:pt idx="17">
                  <c:v>-9946.1223567327888</c:v>
                </c:pt>
                <c:pt idx="18">
                  <c:v>-9756.9627529484333</c:v>
                </c:pt>
                <c:pt idx="19">
                  <c:v>-9550.1101836534144</c:v>
                </c:pt>
                <c:pt idx="20">
                  <c:v>-9325.7142857142844</c:v>
                </c:pt>
                <c:pt idx="21">
                  <c:v>-9083.8244693677007</c:v>
                </c:pt>
                <c:pt idx="22">
                  <c:v>-8824.3913243770057</c:v>
                </c:pt>
                <c:pt idx="23">
                  <c:v>-8547.265213875653</c:v>
                </c:pt>
                <c:pt idx="24">
                  <c:v>-8252.1919614464296</c:v>
                </c:pt>
                <c:pt idx="25">
                  <c:v>-7938.8053364854713</c:v>
                </c:pt>
                <c:pt idx="26">
                  <c:v>-7606.6158053232111</c:v>
                </c:pt>
                <c:pt idx="27">
                  <c:v>-7254.9947079299818</c:v>
                </c:pt>
                <c:pt idx="28">
                  <c:v>-6883.1525943221068</c:v>
                </c:pt>
                <c:pt idx="29">
                  <c:v>-6490.1098356670882</c:v>
                </c:pt>
                <c:pt idx="30">
                  <c:v>-6074.6566879389002</c:v>
                </c:pt>
                <c:pt idx="31">
                  <c:v>-5635.2985156435889</c:v>
                </c:pt>
                <c:pt idx="32">
                  <c:v>-5170.1794927761212</c:v>
                </c:pt>
                <c:pt idx="33">
                  <c:v>-4676.9740616744648</c:v>
                </c:pt>
                <c:pt idx="34">
                  <c:v>-4152.7283177136469</c:v>
                </c:pt>
                <c:pt idx="35">
                  <c:v>-3593.6203210333515</c:v>
                </c:pt>
                <c:pt idx="36">
                  <c:v>-2994.5824932082637</c:v>
                </c:pt>
                <c:pt idx="37">
                  <c:v>-2348.6747877003427</c:v>
                </c:pt>
                <c:pt idx="38">
                  <c:v>-1645.9718253094991</c:v>
                </c:pt>
                <c:pt idx="39">
                  <c:v>-871.40267013490904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C02-C940-9084-687EB0424BDC}"/>
            </c:ext>
          </c:extLst>
        </c:ser>
        <c:ser>
          <c:idx val="2"/>
          <c:order val="2"/>
          <c:tx>
            <c:v>DF Upper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plot'!$I$33:$I$73</c:f>
              <c:numCache>
                <c:formatCode>0.0</c:formatCode>
                <c:ptCount val="41"/>
                <c:pt idx="0">
                  <c:v>-540763.29850657785</c:v>
                </c:pt>
                <c:pt idx="1">
                  <c:v>-513725.13358124893</c:v>
                </c:pt>
                <c:pt idx="2">
                  <c:v>-486686.96865592012</c:v>
                </c:pt>
                <c:pt idx="3">
                  <c:v>-459648.8037305912</c:v>
                </c:pt>
                <c:pt idx="4">
                  <c:v>-432610.63880526228</c:v>
                </c:pt>
                <c:pt idx="5">
                  <c:v>-405572.47387993342</c:v>
                </c:pt>
                <c:pt idx="6">
                  <c:v>-378534.30895460449</c:v>
                </c:pt>
                <c:pt idx="7">
                  <c:v>-351496.14402927563</c:v>
                </c:pt>
                <c:pt idx="8">
                  <c:v>-324457.97910394671</c:v>
                </c:pt>
                <c:pt idx="9">
                  <c:v>-297419.81417861785</c:v>
                </c:pt>
                <c:pt idx="10">
                  <c:v>-270381.64925328892</c:v>
                </c:pt>
                <c:pt idx="11">
                  <c:v>-243343.48432795951</c:v>
                </c:pt>
                <c:pt idx="12">
                  <c:v>-216305.31940263114</c:v>
                </c:pt>
                <c:pt idx="13">
                  <c:v>-189267.15447730225</c:v>
                </c:pt>
                <c:pt idx="14">
                  <c:v>-162228.98955197335</c:v>
                </c:pt>
                <c:pt idx="15">
                  <c:v>-135190.82462664446</c:v>
                </c:pt>
                <c:pt idx="16">
                  <c:v>-108152.65970131503</c:v>
                </c:pt>
                <c:pt idx="17">
                  <c:v>-81114.494775986677</c:v>
                </c:pt>
                <c:pt idx="18">
                  <c:v>-54076.329850657727</c:v>
                </c:pt>
                <c:pt idx="19">
                  <c:v>-27038.164925328892</c:v>
                </c:pt>
                <c:pt idx="20">
                  <c:v>0</c:v>
                </c:pt>
                <c:pt idx="21">
                  <c:v>27038.164925328892</c:v>
                </c:pt>
                <c:pt idx="22">
                  <c:v>54076.329850657785</c:v>
                </c:pt>
                <c:pt idx="23">
                  <c:v>81114.494775986139</c:v>
                </c:pt>
                <c:pt idx="24">
                  <c:v>108152.65970131503</c:v>
                </c:pt>
                <c:pt idx="25">
                  <c:v>135190.82462664446</c:v>
                </c:pt>
                <c:pt idx="26">
                  <c:v>162228.98955197335</c:v>
                </c:pt>
                <c:pt idx="27">
                  <c:v>189267.15447730225</c:v>
                </c:pt>
                <c:pt idx="28">
                  <c:v>216305.31940263062</c:v>
                </c:pt>
                <c:pt idx="29">
                  <c:v>243343.48432795951</c:v>
                </c:pt>
                <c:pt idx="30">
                  <c:v>270381.64925328892</c:v>
                </c:pt>
                <c:pt idx="31">
                  <c:v>297419.81417861785</c:v>
                </c:pt>
                <c:pt idx="32">
                  <c:v>324457.97910394671</c:v>
                </c:pt>
                <c:pt idx="33">
                  <c:v>351496.14402927511</c:v>
                </c:pt>
                <c:pt idx="34">
                  <c:v>378534.30895460449</c:v>
                </c:pt>
                <c:pt idx="35">
                  <c:v>405572.47387993342</c:v>
                </c:pt>
                <c:pt idx="36">
                  <c:v>432610.63880526228</c:v>
                </c:pt>
                <c:pt idx="37">
                  <c:v>459648.8037305912</c:v>
                </c:pt>
                <c:pt idx="38">
                  <c:v>486686.96865591954</c:v>
                </c:pt>
                <c:pt idx="39">
                  <c:v>513725.13358124893</c:v>
                </c:pt>
                <c:pt idx="40">
                  <c:v>540763.29850657785</c:v>
                </c:pt>
              </c:numCache>
            </c:numRef>
          </c:xVal>
          <c:yVal>
            <c:numRef>
              <c:f>'4_VME_data plot'!$J$33:$J$73</c:f>
              <c:numCache>
                <c:formatCode>0.0</c:formatCode>
                <c:ptCount val="41"/>
                <c:pt idx="0">
                  <c:v>0</c:v>
                </c:pt>
                <c:pt idx="1">
                  <c:v>697.12213610792719</c:v>
                </c:pt>
                <c:pt idx="2">
                  <c:v>1316.777460247587</c:v>
                </c:pt>
                <c:pt idx="3">
                  <c:v>1878.9398301602741</c:v>
                </c:pt>
                <c:pt idx="4">
                  <c:v>2395.6659945666111</c:v>
                </c:pt>
                <c:pt idx="5">
                  <c:v>2874.8962568266811</c:v>
                </c:pt>
                <c:pt idx="6">
                  <c:v>3322.1826541709174</c:v>
                </c:pt>
                <c:pt idx="7">
                  <c:v>3741.5792493395638</c:v>
                </c:pt>
                <c:pt idx="8">
                  <c:v>4136.1435942208973</c:v>
                </c:pt>
                <c:pt idx="9">
                  <c:v>4508.2388125148709</c:v>
                </c:pt>
                <c:pt idx="10">
                  <c:v>4859.7253503511201</c:v>
                </c:pt>
                <c:pt idx="11">
                  <c:v>5192.0878685336702</c:v>
                </c:pt>
                <c:pt idx="12">
                  <c:v>5506.5220754576794</c:v>
                </c:pt>
                <c:pt idx="13">
                  <c:v>5803.9957663439855</c:v>
                </c:pt>
                <c:pt idx="14">
                  <c:v>6085.2926442585685</c:v>
                </c:pt>
                <c:pt idx="15">
                  <c:v>6351.0442691883773</c:v>
                </c:pt>
                <c:pt idx="16">
                  <c:v>6601.7535691571438</c:v>
                </c:pt>
                <c:pt idx="17">
                  <c:v>6837.8121711005178</c:v>
                </c:pt>
                <c:pt idx="18">
                  <c:v>7059.5130595016044</c:v>
                </c:pt>
                <c:pt idx="19">
                  <c:v>7267.0595754941605</c:v>
                </c:pt>
                <c:pt idx="20">
                  <c:v>7460.5714285714275</c:v>
                </c:pt>
                <c:pt idx="21">
                  <c:v>7640.0881469227315</c:v>
                </c:pt>
                <c:pt idx="22">
                  <c:v>7805.5702023587464</c:v>
                </c:pt>
                <c:pt idx="23">
                  <c:v>7956.89788538623</c:v>
                </c:pt>
                <c:pt idx="24">
                  <c:v>8093.8678548714215</c:v>
                </c:pt>
                <c:pt idx="25">
                  <c:v>8216.1871263312332</c:v>
                </c:pt>
                <c:pt idx="26">
                  <c:v>8323.4640728299964</c:v>
                </c:pt>
                <c:pt idx="27">
                  <c:v>8415.1957663439862</c:v>
                </c:pt>
                <c:pt idx="28">
                  <c:v>8490.7506468862484</c:v>
                </c:pt>
                <c:pt idx="29">
                  <c:v>8549.3450113908057</c:v>
                </c:pt>
                <c:pt idx="30">
                  <c:v>8590.0110646368339</c:v>
                </c:pt>
                <c:pt idx="31">
                  <c:v>8611.5530982291566</c:v>
                </c:pt>
                <c:pt idx="32">
                  <c:v>8612.4864513637531</c:v>
                </c:pt>
                <c:pt idx="33">
                  <c:v>8590.9506779109943</c:v>
                </c:pt>
                <c:pt idx="34">
                  <c:v>8544.5826541709175</c:v>
                </c:pt>
                <c:pt idx="35">
                  <c:v>8470.324828255254</c:v>
                </c:pt>
                <c:pt idx="36">
                  <c:v>8364.1231374237523</c:v>
                </c:pt>
                <c:pt idx="37">
                  <c:v>8220.4255444459886</c:v>
                </c:pt>
                <c:pt idx="38">
                  <c:v>8031.2917459618784</c:v>
                </c:pt>
                <c:pt idx="39">
                  <c:v>7784.6649932507835</c:v>
                </c:pt>
                <c:pt idx="40">
                  <c:v>7460.5714285714275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C02-C940-9084-687EB0424BDC}"/>
            </c:ext>
          </c:extLst>
        </c:ser>
        <c:ser>
          <c:idx val="3"/>
          <c:order val="3"/>
          <c:tx>
            <c:v>DF Lower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plot'!$I$33:$I$73</c:f>
              <c:numCache>
                <c:formatCode>0.0</c:formatCode>
                <c:ptCount val="41"/>
                <c:pt idx="0">
                  <c:v>-540763.29850657785</c:v>
                </c:pt>
                <c:pt idx="1">
                  <c:v>-513725.13358124893</c:v>
                </c:pt>
                <c:pt idx="2">
                  <c:v>-486686.96865592012</c:v>
                </c:pt>
                <c:pt idx="3">
                  <c:v>-459648.8037305912</c:v>
                </c:pt>
                <c:pt idx="4">
                  <c:v>-432610.63880526228</c:v>
                </c:pt>
                <c:pt idx="5">
                  <c:v>-405572.47387993342</c:v>
                </c:pt>
                <c:pt idx="6">
                  <c:v>-378534.30895460449</c:v>
                </c:pt>
                <c:pt idx="7">
                  <c:v>-351496.14402927563</c:v>
                </c:pt>
                <c:pt idx="8">
                  <c:v>-324457.97910394671</c:v>
                </c:pt>
                <c:pt idx="9">
                  <c:v>-297419.81417861785</c:v>
                </c:pt>
                <c:pt idx="10">
                  <c:v>-270381.64925328892</c:v>
                </c:pt>
                <c:pt idx="11">
                  <c:v>-243343.48432795951</c:v>
                </c:pt>
                <c:pt idx="12">
                  <c:v>-216305.31940263114</c:v>
                </c:pt>
                <c:pt idx="13">
                  <c:v>-189267.15447730225</c:v>
                </c:pt>
                <c:pt idx="14">
                  <c:v>-162228.98955197335</c:v>
                </c:pt>
                <c:pt idx="15">
                  <c:v>-135190.82462664446</c:v>
                </c:pt>
                <c:pt idx="16">
                  <c:v>-108152.65970131503</c:v>
                </c:pt>
                <c:pt idx="17">
                  <c:v>-81114.494775986677</c:v>
                </c:pt>
                <c:pt idx="18">
                  <c:v>-54076.329850657727</c:v>
                </c:pt>
                <c:pt idx="19">
                  <c:v>-27038.164925328892</c:v>
                </c:pt>
                <c:pt idx="20">
                  <c:v>0</c:v>
                </c:pt>
                <c:pt idx="21">
                  <c:v>27038.164925328892</c:v>
                </c:pt>
                <c:pt idx="22">
                  <c:v>54076.329850657785</c:v>
                </c:pt>
                <c:pt idx="23">
                  <c:v>81114.494775986139</c:v>
                </c:pt>
                <c:pt idx="24">
                  <c:v>108152.65970131503</c:v>
                </c:pt>
                <c:pt idx="25">
                  <c:v>135190.82462664446</c:v>
                </c:pt>
                <c:pt idx="26">
                  <c:v>162228.98955197335</c:v>
                </c:pt>
                <c:pt idx="27">
                  <c:v>189267.15447730225</c:v>
                </c:pt>
                <c:pt idx="28">
                  <c:v>216305.31940263062</c:v>
                </c:pt>
                <c:pt idx="29">
                  <c:v>243343.48432795951</c:v>
                </c:pt>
                <c:pt idx="30">
                  <c:v>270381.64925328892</c:v>
                </c:pt>
                <c:pt idx="31">
                  <c:v>297419.81417861785</c:v>
                </c:pt>
                <c:pt idx="32">
                  <c:v>324457.97910394671</c:v>
                </c:pt>
                <c:pt idx="33">
                  <c:v>351496.14402927511</c:v>
                </c:pt>
                <c:pt idx="34">
                  <c:v>378534.30895460449</c:v>
                </c:pt>
                <c:pt idx="35">
                  <c:v>405572.47387993342</c:v>
                </c:pt>
                <c:pt idx="36">
                  <c:v>432610.63880526228</c:v>
                </c:pt>
                <c:pt idx="37">
                  <c:v>459648.8037305912</c:v>
                </c:pt>
                <c:pt idx="38">
                  <c:v>486686.96865591954</c:v>
                </c:pt>
                <c:pt idx="39">
                  <c:v>513725.13358124893</c:v>
                </c:pt>
                <c:pt idx="40">
                  <c:v>540763.29850657785</c:v>
                </c:pt>
              </c:numCache>
            </c:numRef>
          </c:xVal>
          <c:yVal>
            <c:numRef>
              <c:f>'4_VME_data plot'!$K$33:$K$73</c:f>
              <c:numCache>
                <c:formatCode>0.0</c:formatCode>
                <c:ptCount val="41"/>
                <c:pt idx="0">
                  <c:v>-7460.5714285714275</c:v>
                </c:pt>
                <c:pt idx="1">
                  <c:v>-7784.6649932507835</c:v>
                </c:pt>
                <c:pt idx="2">
                  <c:v>-8031.2917459618739</c:v>
                </c:pt>
                <c:pt idx="3">
                  <c:v>-8220.4255444459886</c:v>
                </c:pt>
                <c:pt idx="4">
                  <c:v>-8364.1231374237523</c:v>
                </c:pt>
                <c:pt idx="5">
                  <c:v>-8470.324828255254</c:v>
                </c:pt>
                <c:pt idx="6">
                  <c:v>-8544.5826541709175</c:v>
                </c:pt>
                <c:pt idx="7">
                  <c:v>-8590.9506779109925</c:v>
                </c:pt>
                <c:pt idx="8">
                  <c:v>-8612.4864513637531</c:v>
                </c:pt>
                <c:pt idx="9">
                  <c:v>-8611.5530982291566</c:v>
                </c:pt>
                <c:pt idx="10">
                  <c:v>-8590.0110646368339</c:v>
                </c:pt>
                <c:pt idx="11">
                  <c:v>-8549.3450113908057</c:v>
                </c:pt>
                <c:pt idx="12">
                  <c:v>-8490.7506468862503</c:v>
                </c:pt>
                <c:pt idx="13">
                  <c:v>-8415.1957663439862</c:v>
                </c:pt>
                <c:pt idx="14">
                  <c:v>-8323.4640728299964</c:v>
                </c:pt>
                <c:pt idx="15">
                  <c:v>-8216.1871263312332</c:v>
                </c:pt>
                <c:pt idx="16">
                  <c:v>-8093.8678548714215</c:v>
                </c:pt>
                <c:pt idx="17">
                  <c:v>-7956.8978853862309</c:v>
                </c:pt>
                <c:pt idx="18">
                  <c:v>-7805.5702023587464</c:v>
                </c:pt>
                <c:pt idx="19">
                  <c:v>-7640.0881469227315</c:v>
                </c:pt>
                <c:pt idx="20">
                  <c:v>-7460.5714285714275</c:v>
                </c:pt>
                <c:pt idx="21">
                  <c:v>-7267.0595754941605</c:v>
                </c:pt>
                <c:pt idx="22">
                  <c:v>-7059.5130595016044</c:v>
                </c:pt>
                <c:pt idx="23">
                  <c:v>-6837.8121711005224</c:v>
                </c:pt>
                <c:pt idx="24">
                  <c:v>-6601.7535691571438</c:v>
                </c:pt>
                <c:pt idx="25">
                  <c:v>-6351.0442691883773</c:v>
                </c:pt>
                <c:pt idx="26">
                  <c:v>-6085.2926442585685</c:v>
                </c:pt>
                <c:pt idx="27">
                  <c:v>-5803.9957663439855</c:v>
                </c:pt>
                <c:pt idx="28">
                  <c:v>-5506.5220754576858</c:v>
                </c:pt>
                <c:pt idx="29">
                  <c:v>-5192.0878685336702</c:v>
                </c:pt>
                <c:pt idx="30">
                  <c:v>-4859.7253503511201</c:v>
                </c:pt>
                <c:pt idx="31">
                  <c:v>-4508.2388125148709</c:v>
                </c:pt>
                <c:pt idx="32">
                  <c:v>-4136.1435942208973</c:v>
                </c:pt>
                <c:pt idx="33">
                  <c:v>-3741.579249339572</c:v>
                </c:pt>
                <c:pt idx="34">
                  <c:v>-3322.1826541709174</c:v>
                </c:pt>
                <c:pt idx="35">
                  <c:v>-2874.8962568266811</c:v>
                </c:pt>
                <c:pt idx="36">
                  <c:v>-2395.6659945666111</c:v>
                </c:pt>
                <c:pt idx="37">
                  <c:v>-1878.9398301602741</c:v>
                </c:pt>
                <c:pt idx="38">
                  <c:v>-1316.7774602475993</c:v>
                </c:pt>
                <c:pt idx="39">
                  <c:v>-697.12213610792719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C02-C940-9084-687EB0424BDC}"/>
            </c:ext>
          </c:extLst>
        </c:ser>
        <c:ser>
          <c:idx val="4"/>
          <c:order val="4"/>
          <c:tx>
            <c:v>Connection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plot'!$C$85:$C$89</c:f>
              <c:numCache>
                <c:formatCode>#,##0.0</c:formatCode>
                <c:ptCount val="5"/>
                <c:pt idx="0">
                  <c:v>281250</c:v>
                </c:pt>
                <c:pt idx="1">
                  <c:v>281250</c:v>
                </c:pt>
                <c:pt idx="2">
                  <c:v>-271428.57142857142</c:v>
                </c:pt>
                <c:pt idx="3">
                  <c:v>-271428.57142857142</c:v>
                </c:pt>
                <c:pt idx="4">
                  <c:v>281250</c:v>
                </c:pt>
              </c:numCache>
            </c:numRef>
          </c:xVal>
          <c:yVal>
            <c:numRef>
              <c:f>'4_VME_data plot'!$D$85:$D$89</c:f>
              <c:numCache>
                <c:formatCode>#,##0.0</c:formatCode>
                <c:ptCount val="5"/>
                <c:pt idx="0">
                  <c:v>4400</c:v>
                </c:pt>
                <c:pt idx="1">
                  <c:v>-3600</c:v>
                </c:pt>
                <c:pt idx="2">
                  <c:v>-3600</c:v>
                </c:pt>
                <c:pt idx="3">
                  <c:v>4400</c:v>
                </c:pt>
                <c:pt idx="4">
                  <c:v>4400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C02-C940-9084-687EB0424BDC}"/>
            </c:ext>
          </c:extLst>
        </c:ser>
        <c:ser>
          <c:idx val="5"/>
          <c:order val="5"/>
          <c:tx>
            <c:v>Load / Overload points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plot'!$D$77:$D$81</c:f>
              <c:numCache>
                <c:formatCode>#,##0</c:formatCode>
                <c:ptCount val="5"/>
                <c:pt idx="0">
                  <c:v>120000</c:v>
                </c:pt>
                <c:pt idx="1">
                  <c:v>320000</c:v>
                </c:pt>
                <c:pt idx="2">
                  <c:v>480000</c:v>
                </c:pt>
                <c:pt idx="3">
                  <c:v>200000</c:v>
                </c:pt>
                <c:pt idx="4">
                  <c:v>420000</c:v>
                </c:pt>
              </c:numCache>
            </c:numRef>
          </c:xVal>
          <c:yVal>
            <c:numRef>
              <c:f>'4_VME_data plot'!$E$77:$E$81</c:f>
              <c:numCache>
                <c:formatCode>#,##0</c:formatCode>
                <c:ptCount val="5"/>
                <c:pt idx="0">
                  <c:v>4000</c:v>
                </c:pt>
                <c:pt idx="1">
                  <c:v>9000</c:v>
                </c:pt>
                <c:pt idx="2">
                  <c:v>12000</c:v>
                </c:pt>
                <c:pt idx="3">
                  <c:v>7000</c:v>
                </c:pt>
                <c:pt idx="4">
                  <c:v>11000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C02-C940-9084-687EB0424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Axial Force (lbf)</a:t>
                </a:r>
              </a:p>
            </c:rich>
          </c:tx>
          <c:overlay val="1"/>
        </c:title>
        <c:numFmt formatCode="#,##0" sourceLinked="0"/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Differential Pressure (psi)</a:t>
                </a:r>
              </a:p>
            </c:rich>
          </c:tx>
          <c:overlay val="1"/>
        </c:title>
        <c:numFmt formatCode="#,##0" sourceLinked="0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VME Quadratic – Yield / DF + Connection + Overload markers</a:t>
            </a:r>
          </a:p>
        </c:rich>
      </c:tx>
      <c:overlay val="1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v>Yield Upper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plot'!$D$33:$D$73</c:f>
              <c:numCache>
                <c:formatCode>0.0</c:formatCode>
                <c:ptCount val="41"/>
                <c:pt idx="0">
                  <c:v>-675954.12313322234</c:v>
                </c:pt>
                <c:pt idx="1">
                  <c:v>-642156.41697656119</c:v>
                </c:pt>
                <c:pt idx="2">
                  <c:v>-608358.71081990015</c:v>
                </c:pt>
                <c:pt idx="3">
                  <c:v>-574561.004663239</c:v>
                </c:pt>
                <c:pt idx="4">
                  <c:v>-540763.29850657785</c:v>
                </c:pt>
                <c:pt idx="5">
                  <c:v>-506965.59234991675</c:v>
                </c:pt>
                <c:pt idx="6">
                  <c:v>-473167.8861932556</c:v>
                </c:pt>
                <c:pt idx="7">
                  <c:v>-439370.18003659451</c:v>
                </c:pt>
                <c:pt idx="8">
                  <c:v>-405572.47387993342</c:v>
                </c:pt>
                <c:pt idx="9">
                  <c:v>-371774.76772327232</c:v>
                </c:pt>
                <c:pt idx="10">
                  <c:v>-337977.06156661117</c:v>
                </c:pt>
                <c:pt idx="11">
                  <c:v>-304179.35540994938</c:v>
                </c:pt>
                <c:pt idx="12">
                  <c:v>-270381.64925328892</c:v>
                </c:pt>
                <c:pt idx="13">
                  <c:v>-236583.9430966278</c:v>
                </c:pt>
                <c:pt idx="14">
                  <c:v>-202786.23693996671</c:v>
                </c:pt>
                <c:pt idx="15">
                  <c:v>-168988.53078330558</c:v>
                </c:pt>
                <c:pt idx="16">
                  <c:v>-135190.82462664379</c:v>
                </c:pt>
                <c:pt idx="17">
                  <c:v>-101393.11846998335</c:v>
                </c:pt>
                <c:pt idx="18">
                  <c:v>-67595.412313322158</c:v>
                </c:pt>
                <c:pt idx="19">
                  <c:v>-33797.706156661116</c:v>
                </c:pt>
                <c:pt idx="20">
                  <c:v>0</c:v>
                </c:pt>
                <c:pt idx="21">
                  <c:v>33797.706156661116</c:v>
                </c:pt>
                <c:pt idx="22">
                  <c:v>67595.412313322231</c:v>
                </c:pt>
                <c:pt idx="23">
                  <c:v>101393.11846998267</c:v>
                </c:pt>
                <c:pt idx="24">
                  <c:v>135190.82462664379</c:v>
                </c:pt>
                <c:pt idx="25">
                  <c:v>168988.53078330558</c:v>
                </c:pt>
                <c:pt idx="26">
                  <c:v>202786.23693996671</c:v>
                </c:pt>
                <c:pt idx="27">
                  <c:v>236583.9430966278</c:v>
                </c:pt>
                <c:pt idx="28">
                  <c:v>270381.64925328828</c:v>
                </c:pt>
                <c:pt idx="29">
                  <c:v>304179.35540994938</c:v>
                </c:pt>
                <c:pt idx="30">
                  <c:v>337977.06156661117</c:v>
                </c:pt>
                <c:pt idx="31">
                  <c:v>371774.76772327232</c:v>
                </c:pt>
                <c:pt idx="32">
                  <c:v>405572.47387993342</c:v>
                </c:pt>
                <c:pt idx="33">
                  <c:v>439370.18003659387</c:v>
                </c:pt>
                <c:pt idx="34">
                  <c:v>473167.8861932556</c:v>
                </c:pt>
                <c:pt idx="35">
                  <c:v>506965.59234991675</c:v>
                </c:pt>
                <c:pt idx="36">
                  <c:v>540763.29850657785</c:v>
                </c:pt>
                <c:pt idx="37">
                  <c:v>574561.004663239</c:v>
                </c:pt>
                <c:pt idx="38">
                  <c:v>608358.71081989945</c:v>
                </c:pt>
                <c:pt idx="39">
                  <c:v>642156.41697656119</c:v>
                </c:pt>
                <c:pt idx="40">
                  <c:v>675954.12313322234</c:v>
                </c:pt>
              </c:numCache>
            </c:numRef>
          </c:xVal>
          <c:yVal>
            <c:numRef>
              <c:f>'4_VME_data plot'!$G$33:$G$73</c:f>
              <c:numCache>
                <c:formatCode>0.0</c:formatCode>
                <c:ptCount val="41"/>
                <c:pt idx="0">
                  <c:v>0</c:v>
                </c:pt>
                <c:pt idx="1">
                  <c:v>871.40267013490904</c:v>
                </c:pt>
                <c:pt idx="2">
                  <c:v>1645.9718253094838</c:v>
                </c:pt>
                <c:pt idx="3">
                  <c:v>2348.6747877003427</c:v>
                </c:pt>
                <c:pt idx="4">
                  <c:v>2994.5824932082637</c:v>
                </c:pt>
                <c:pt idx="5">
                  <c:v>3593.6203210333515</c:v>
                </c:pt>
                <c:pt idx="6">
                  <c:v>4152.7283177136469</c:v>
                </c:pt>
                <c:pt idx="7">
                  <c:v>4676.9740616744548</c:v>
                </c:pt>
                <c:pt idx="8">
                  <c:v>5170.1794927761212</c:v>
                </c:pt>
                <c:pt idx="9">
                  <c:v>5635.2985156435889</c:v>
                </c:pt>
                <c:pt idx="10">
                  <c:v>6074.6566879389002</c:v>
                </c:pt>
                <c:pt idx="11">
                  <c:v>6490.1098356670882</c:v>
                </c:pt>
                <c:pt idx="12">
                  <c:v>6883.1525943220995</c:v>
                </c:pt>
                <c:pt idx="13">
                  <c:v>7254.9947079299818</c:v>
                </c:pt>
                <c:pt idx="14">
                  <c:v>7606.6158053232111</c:v>
                </c:pt>
                <c:pt idx="15">
                  <c:v>7938.8053364854713</c:v>
                </c:pt>
                <c:pt idx="16">
                  <c:v>8252.1919614464296</c:v>
                </c:pt>
                <c:pt idx="17">
                  <c:v>8547.2652138756475</c:v>
                </c:pt>
                <c:pt idx="18">
                  <c:v>8824.3913243770057</c:v>
                </c:pt>
                <c:pt idx="19">
                  <c:v>9083.8244693677007</c:v>
                </c:pt>
                <c:pt idx="20">
                  <c:v>9325.7142857142844</c:v>
                </c:pt>
                <c:pt idx="21">
                  <c:v>9550.1101836534144</c:v>
                </c:pt>
                <c:pt idx="22">
                  <c:v>9756.9627529484333</c:v>
                </c:pt>
                <c:pt idx="23">
                  <c:v>9946.122356732787</c:v>
                </c:pt>
                <c:pt idx="24">
                  <c:v>10117.334818589277</c:v>
                </c:pt>
                <c:pt idx="25">
                  <c:v>10270.233907914042</c:v>
                </c:pt>
                <c:pt idx="26">
                  <c:v>10404.330091037496</c:v>
                </c:pt>
                <c:pt idx="27">
                  <c:v>10518.994707929982</c:v>
                </c:pt>
                <c:pt idx="28">
                  <c:v>10613.438308607811</c:v>
                </c:pt>
                <c:pt idx="29">
                  <c:v>10686.681264238507</c:v>
                </c:pt>
                <c:pt idx="30">
                  <c:v>10737.513830796042</c:v>
                </c:pt>
                <c:pt idx="31">
                  <c:v>10764.441372786447</c:v>
                </c:pt>
                <c:pt idx="32">
                  <c:v>10765.608064204691</c:v>
                </c:pt>
                <c:pt idx="33">
                  <c:v>10738.688347388743</c:v>
                </c:pt>
                <c:pt idx="34">
                  <c:v>10680.728317713647</c:v>
                </c:pt>
                <c:pt idx="35">
                  <c:v>10587.906035319067</c:v>
                </c:pt>
                <c:pt idx="36">
                  <c:v>10455.153921779691</c:v>
                </c:pt>
                <c:pt idx="37">
                  <c:v>10275.531930557485</c:v>
                </c:pt>
                <c:pt idx="38">
                  <c:v>10039.114682452348</c:v>
                </c:pt>
                <c:pt idx="39">
                  <c:v>9730.8312415634791</c:v>
                </c:pt>
                <c:pt idx="40">
                  <c:v>9325.7142857142844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88-184E-B05D-A219E1D9DB78}"/>
            </c:ext>
          </c:extLst>
        </c:ser>
        <c:ser>
          <c:idx val="1"/>
          <c:order val="1"/>
          <c:tx>
            <c:v>Yield Lower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plot'!$D$33:$D$73</c:f>
              <c:numCache>
                <c:formatCode>0.0</c:formatCode>
                <c:ptCount val="41"/>
                <c:pt idx="0">
                  <c:v>-675954.12313322234</c:v>
                </c:pt>
                <c:pt idx="1">
                  <c:v>-642156.41697656119</c:v>
                </c:pt>
                <c:pt idx="2">
                  <c:v>-608358.71081990015</c:v>
                </c:pt>
                <c:pt idx="3">
                  <c:v>-574561.004663239</c:v>
                </c:pt>
                <c:pt idx="4">
                  <c:v>-540763.29850657785</c:v>
                </c:pt>
                <c:pt idx="5">
                  <c:v>-506965.59234991675</c:v>
                </c:pt>
                <c:pt idx="6">
                  <c:v>-473167.8861932556</c:v>
                </c:pt>
                <c:pt idx="7">
                  <c:v>-439370.18003659451</c:v>
                </c:pt>
                <c:pt idx="8">
                  <c:v>-405572.47387993342</c:v>
                </c:pt>
                <c:pt idx="9">
                  <c:v>-371774.76772327232</c:v>
                </c:pt>
                <c:pt idx="10">
                  <c:v>-337977.06156661117</c:v>
                </c:pt>
                <c:pt idx="11">
                  <c:v>-304179.35540994938</c:v>
                </c:pt>
                <c:pt idx="12">
                  <c:v>-270381.64925328892</c:v>
                </c:pt>
                <c:pt idx="13">
                  <c:v>-236583.9430966278</c:v>
                </c:pt>
                <c:pt idx="14">
                  <c:v>-202786.23693996671</c:v>
                </c:pt>
                <c:pt idx="15">
                  <c:v>-168988.53078330558</c:v>
                </c:pt>
                <c:pt idx="16">
                  <c:v>-135190.82462664379</c:v>
                </c:pt>
                <c:pt idx="17">
                  <c:v>-101393.11846998335</c:v>
                </c:pt>
                <c:pt idx="18">
                  <c:v>-67595.412313322158</c:v>
                </c:pt>
                <c:pt idx="19">
                  <c:v>-33797.706156661116</c:v>
                </c:pt>
                <c:pt idx="20">
                  <c:v>0</c:v>
                </c:pt>
                <c:pt idx="21">
                  <c:v>33797.706156661116</c:v>
                </c:pt>
                <c:pt idx="22">
                  <c:v>67595.412313322231</c:v>
                </c:pt>
                <c:pt idx="23">
                  <c:v>101393.11846998267</c:v>
                </c:pt>
                <c:pt idx="24">
                  <c:v>135190.82462664379</c:v>
                </c:pt>
                <c:pt idx="25">
                  <c:v>168988.53078330558</c:v>
                </c:pt>
                <c:pt idx="26">
                  <c:v>202786.23693996671</c:v>
                </c:pt>
                <c:pt idx="27">
                  <c:v>236583.9430966278</c:v>
                </c:pt>
                <c:pt idx="28">
                  <c:v>270381.64925328828</c:v>
                </c:pt>
                <c:pt idx="29">
                  <c:v>304179.35540994938</c:v>
                </c:pt>
                <c:pt idx="30">
                  <c:v>337977.06156661117</c:v>
                </c:pt>
                <c:pt idx="31">
                  <c:v>371774.76772327232</c:v>
                </c:pt>
                <c:pt idx="32">
                  <c:v>405572.47387993342</c:v>
                </c:pt>
                <c:pt idx="33">
                  <c:v>439370.18003659387</c:v>
                </c:pt>
                <c:pt idx="34">
                  <c:v>473167.8861932556</c:v>
                </c:pt>
                <c:pt idx="35">
                  <c:v>506965.59234991675</c:v>
                </c:pt>
                <c:pt idx="36">
                  <c:v>540763.29850657785</c:v>
                </c:pt>
                <c:pt idx="37">
                  <c:v>574561.004663239</c:v>
                </c:pt>
                <c:pt idx="38">
                  <c:v>608358.71081989945</c:v>
                </c:pt>
                <c:pt idx="39">
                  <c:v>642156.41697656119</c:v>
                </c:pt>
                <c:pt idx="40">
                  <c:v>675954.12313322234</c:v>
                </c:pt>
              </c:numCache>
            </c:numRef>
          </c:xVal>
          <c:yVal>
            <c:numRef>
              <c:f>'4_VME_data plot'!$H$33:$H$73</c:f>
              <c:numCache>
                <c:formatCode>0.0</c:formatCode>
                <c:ptCount val="41"/>
                <c:pt idx="0">
                  <c:v>-9325.7142857142844</c:v>
                </c:pt>
                <c:pt idx="1">
                  <c:v>-9730.8312415634791</c:v>
                </c:pt>
                <c:pt idx="2">
                  <c:v>-10039.114682452342</c:v>
                </c:pt>
                <c:pt idx="3">
                  <c:v>-10275.531930557485</c:v>
                </c:pt>
                <c:pt idx="4">
                  <c:v>-10455.153921779691</c:v>
                </c:pt>
                <c:pt idx="5">
                  <c:v>-10587.906035319067</c:v>
                </c:pt>
                <c:pt idx="6">
                  <c:v>-10680.728317713647</c:v>
                </c:pt>
                <c:pt idx="7">
                  <c:v>-10738.688347388741</c:v>
                </c:pt>
                <c:pt idx="8">
                  <c:v>-10765.608064204691</c:v>
                </c:pt>
                <c:pt idx="9">
                  <c:v>-10764.441372786447</c:v>
                </c:pt>
                <c:pt idx="10">
                  <c:v>-10737.513830796042</c:v>
                </c:pt>
                <c:pt idx="11">
                  <c:v>-10686.681264238507</c:v>
                </c:pt>
                <c:pt idx="12">
                  <c:v>-10613.438308607812</c:v>
                </c:pt>
                <c:pt idx="13">
                  <c:v>-10518.994707929982</c:v>
                </c:pt>
                <c:pt idx="14">
                  <c:v>-10404.330091037496</c:v>
                </c:pt>
                <c:pt idx="15">
                  <c:v>-10270.233907914042</c:v>
                </c:pt>
                <c:pt idx="16">
                  <c:v>-10117.334818589277</c:v>
                </c:pt>
                <c:pt idx="17">
                  <c:v>-9946.1223567327888</c:v>
                </c:pt>
                <c:pt idx="18">
                  <c:v>-9756.9627529484333</c:v>
                </c:pt>
                <c:pt idx="19">
                  <c:v>-9550.1101836534144</c:v>
                </c:pt>
                <c:pt idx="20">
                  <c:v>-9325.7142857142844</c:v>
                </c:pt>
                <c:pt idx="21">
                  <c:v>-9083.8244693677007</c:v>
                </c:pt>
                <c:pt idx="22">
                  <c:v>-8824.3913243770057</c:v>
                </c:pt>
                <c:pt idx="23">
                  <c:v>-8547.265213875653</c:v>
                </c:pt>
                <c:pt idx="24">
                  <c:v>-8252.1919614464296</c:v>
                </c:pt>
                <c:pt idx="25">
                  <c:v>-7938.8053364854713</c:v>
                </c:pt>
                <c:pt idx="26">
                  <c:v>-7606.6158053232111</c:v>
                </c:pt>
                <c:pt idx="27">
                  <c:v>-7254.9947079299818</c:v>
                </c:pt>
                <c:pt idx="28">
                  <c:v>-6883.1525943221068</c:v>
                </c:pt>
                <c:pt idx="29">
                  <c:v>-6490.1098356670882</c:v>
                </c:pt>
                <c:pt idx="30">
                  <c:v>-6074.6566879389002</c:v>
                </c:pt>
                <c:pt idx="31">
                  <c:v>-5635.2985156435889</c:v>
                </c:pt>
                <c:pt idx="32">
                  <c:v>-5170.1794927761212</c:v>
                </c:pt>
                <c:pt idx="33">
                  <c:v>-4676.9740616744648</c:v>
                </c:pt>
                <c:pt idx="34">
                  <c:v>-4152.7283177136469</c:v>
                </c:pt>
                <c:pt idx="35">
                  <c:v>-3593.6203210333515</c:v>
                </c:pt>
                <c:pt idx="36">
                  <c:v>-2994.5824932082637</c:v>
                </c:pt>
                <c:pt idx="37">
                  <c:v>-2348.6747877003427</c:v>
                </c:pt>
                <c:pt idx="38">
                  <c:v>-1645.9718253094991</c:v>
                </c:pt>
                <c:pt idx="39">
                  <c:v>-871.40267013490904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988-184E-B05D-A219E1D9DB78}"/>
            </c:ext>
          </c:extLst>
        </c:ser>
        <c:ser>
          <c:idx val="2"/>
          <c:order val="2"/>
          <c:tx>
            <c:v>DF Upper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plot'!$I$33:$I$73</c:f>
              <c:numCache>
                <c:formatCode>0.0</c:formatCode>
                <c:ptCount val="41"/>
                <c:pt idx="0">
                  <c:v>-540763.29850657785</c:v>
                </c:pt>
                <c:pt idx="1">
                  <c:v>-513725.13358124893</c:v>
                </c:pt>
                <c:pt idx="2">
                  <c:v>-486686.96865592012</c:v>
                </c:pt>
                <c:pt idx="3">
                  <c:v>-459648.8037305912</c:v>
                </c:pt>
                <c:pt idx="4">
                  <c:v>-432610.63880526228</c:v>
                </c:pt>
                <c:pt idx="5">
                  <c:v>-405572.47387993342</c:v>
                </c:pt>
                <c:pt idx="6">
                  <c:v>-378534.30895460449</c:v>
                </c:pt>
                <c:pt idx="7">
                  <c:v>-351496.14402927563</c:v>
                </c:pt>
                <c:pt idx="8">
                  <c:v>-324457.97910394671</c:v>
                </c:pt>
                <c:pt idx="9">
                  <c:v>-297419.81417861785</c:v>
                </c:pt>
                <c:pt idx="10">
                  <c:v>-270381.64925328892</c:v>
                </c:pt>
                <c:pt idx="11">
                  <c:v>-243343.48432795951</c:v>
                </c:pt>
                <c:pt idx="12">
                  <c:v>-216305.31940263114</c:v>
                </c:pt>
                <c:pt idx="13">
                  <c:v>-189267.15447730225</c:v>
                </c:pt>
                <c:pt idx="14">
                  <c:v>-162228.98955197335</c:v>
                </c:pt>
                <c:pt idx="15">
                  <c:v>-135190.82462664446</c:v>
                </c:pt>
                <c:pt idx="16">
                  <c:v>-108152.65970131503</c:v>
                </c:pt>
                <c:pt idx="17">
                  <c:v>-81114.494775986677</c:v>
                </c:pt>
                <c:pt idx="18">
                  <c:v>-54076.329850657727</c:v>
                </c:pt>
                <c:pt idx="19">
                  <c:v>-27038.164925328892</c:v>
                </c:pt>
                <c:pt idx="20">
                  <c:v>0</c:v>
                </c:pt>
                <c:pt idx="21">
                  <c:v>27038.164925328892</c:v>
                </c:pt>
                <c:pt idx="22">
                  <c:v>54076.329850657785</c:v>
                </c:pt>
                <c:pt idx="23">
                  <c:v>81114.494775986139</c:v>
                </c:pt>
                <c:pt idx="24">
                  <c:v>108152.65970131503</c:v>
                </c:pt>
                <c:pt idx="25">
                  <c:v>135190.82462664446</c:v>
                </c:pt>
                <c:pt idx="26">
                  <c:v>162228.98955197335</c:v>
                </c:pt>
                <c:pt idx="27">
                  <c:v>189267.15447730225</c:v>
                </c:pt>
                <c:pt idx="28">
                  <c:v>216305.31940263062</c:v>
                </c:pt>
                <c:pt idx="29">
                  <c:v>243343.48432795951</c:v>
                </c:pt>
                <c:pt idx="30">
                  <c:v>270381.64925328892</c:v>
                </c:pt>
                <c:pt idx="31">
                  <c:v>297419.81417861785</c:v>
                </c:pt>
                <c:pt idx="32">
                  <c:v>324457.97910394671</c:v>
                </c:pt>
                <c:pt idx="33">
                  <c:v>351496.14402927511</c:v>
                </c:pt>
                <c:pt idx="34">
                  <c:v>378534.30895460449</c:v>
                </c:pt>
                <c:pt idx="35">
                  <c:v>405572.47387993342</c:v>
                </c:pt>
                <c:pt idx="36">
                  <c:v>432610.63880526228</c:v>
                </c:pt>
                <c:pt idx="37">
                  <c:v>459648.8037305912</c:v>
                </c:pt>
                <c:pt idx="38">
                  <c:v>486686.96865591954</c:v>
                </c:pt>
                <c:pt idx="39">
                  <c:v>513725.13358124893</c:v>
                </c:pt>
                <c:pt idx="40">
                  <c:v>540763.29850657785</c:v>
                </c:pt>
              </c:numCache>
            </c:numRef>
          </c:xVal>
          <c:yVal>
            <c:numRef>
              <c:f>'4_VME_data plot'!$J$33:$J$73</c:f>
              <c:numCache>
                <c:formatCode>0.0</c:formatCode>
                <c:ptCount val="41"/>
                <c:pt idx="0">
                  <c:v>0</c:v>
                </c:pt>
                <c:pt idx="1">
                  <c:v>697.12213610792719</c:v>
                </c:pt>
                <c:pt idx="2">
                  <c:v>1316.777460247587</c:v>
                </c:pt>
                <c:pt idx="3">
                  <c:v>1878.9398301602741</c:v>
                </c:pt>
                <c:pt idx="4">
                  <c:v>2395.6659945666111</c:v>
                </c:pt>
                <c:pt idx="5">
                  <c:v>2874.8962568266811</c:v>
                </c:pt>
                <c:pt idx="6">
                  <c:v>3322.1826541709174</c:v>
                </c:pt>
                <c:pt idx="7">
                  <c:v>3741.5792493395638</c:v>
                </c:pt>
                <c:pt idx="8">
                  <c:v>4136.1435942208973</c:v>
                </c:pt>
                <c:pt idx="9">
                  <c:v>4508.2388125148709</c:v>
                </c:pt>
                <c:pt idx="10">
                  <c:v>4859.7253503511201</c:v>
                </c:pt>
                <c:pt idx="11">
                  <c:v>5192.0878685336702</c:v>
                </c:pt>
                <c:pt idx="12">
                  <c:v>5506.5220754576794</c:v>
                </c:pt>
                <c:pt idx="13">
                  <c:v>5803.9957663439855</c:v>
                </c:pt>
                <c:pt idx="14">
                  <c:v>6085.2926442585685</c:v>
                </c:pt>
                <c:pt idx="15">
                  <c:v>6351.0442691883773</c:v>
                </c:pt>
                <c:pt idx="16">
                  <c:v>6601.7535691571438</c:v>
                </c:pt>
                <c:pt idx="17">
                  <c:v>6837.8121711005178</c:v>
                </c:pt>
                <c:pt idx="18">
                  <c:v>7059.5130595016044</c:v>
                </c:pt>
                <c:pt idx="19">
                  <c:v>7267.0595754941605</c:v>
                </c:pt>
                <c:pt idx="20">
                  <c:v>7460.5714285714275</c:v>
                </c:pt>
                <c:pt idx="21">
                  <c:v>7640.0881469227315</c:v>
                </c:pt>
                <c:pt idx="22">
                  <c:v>7805.5702023587464</c:v>
                </c:pt>
                <c:pt idx="23">
                  <c:v>7956.89788538623</c:v>
                </c:pt>
                <c:pt idx="24">
                  <c:v>8093.8678548714215</c:v>
                </c:pt>
                <c:pt idx="25">
                  <c:v>8216.1871263312332</c:v>
                </c:pt>
                <c:pt idx="26">
                  <c:v>8323.4640728299964</c:v>
                </c:pt>
                <c:pt idx="27">
                  <c:v>8415.1957663439862</c:v>
                </c:pt>
                <c:pt idx="28">
                  <c:v>8490.7506468862484</c:v>
                </c:pt>
                <c:pt idx="29">
                  <c:v>8549.3450113908057</c:v>
                </c:pt>
                <c:pt idx="30">
                  <c:v>8590.0110646368339</c:v>
                </c:pt>
                <c:pt idx="31">
                  <c:v>8611.5530982291566</c:v>
                </c:pt>
                <c:pt idx="32">
                  <c:v>8612.4864513637531</c:v>
                </c:pt>
                <c:pt idx="33">
                  <c:v>8590.9506779109943</c:v>
                </c:pt>
                <c:pt idx="34">
                  <c:v>8544.5826541709175</c:v>
                </c:pt>
                <c:pt idx="35">
                  <c:v>8470.324828255254</c:v>
                </c:pt>
                <c:pt idx="36">
                  <c:v>8364.1231374237523</c:v>
                </c:pt>
                <c:pt idx="37">
                  <c:v>8220.4255444459886</c:v>
                </c:pt>
                <c:pt idx="38">
                  <c:v>8031.2917459618784</c:v>
                </c:pt>
                <c:pt idx="39">
                  <c:v>7784.6649932507835</c:v>
                </c:pt>
                <c:pt idx="40">
                  <c:v>7460.5714285714275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988-184E-B05D-A219E1D9DB78}"/>
            </c:ext>
          </c:extLst>
        </c:ser>
        <c:ser>
          <c:idx val="3"/>
          <c:order val="3"/>
          <c:tx>
            <c:v>DF Lower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plot'!$I$33:$I$73</c:f>
              <c:numCache>
                <c:formatCode>0.0</c:formatCode>
                <c:ptCount val="41"/>
                <c:pt idx="0">
                  <c:v>-540763.29850657785</c:v>
                </c:pt>
                <c:pt idx="1">
                  <c:v>-513725.13358124893</c:v>
                </c:pt>
                <c:pt idx="2">
                  <c:v>-486686.96865592012</c:v>
                </c:pt>
                <c:pt idx="3">
                  <c:v>-459648.8037305912</c:v>
                </c:pt>
                <c:pt idx="4">
                  <c:v>-432610.63880526228</c:v>
                </c:pt>
                <c:pt idx="5">
                  <c:v>-405572.47387993342</c:v>
                </c:pt>
                <c:pt idx="6">
                  <c:v>-378534.30895460449</c:v>
                </c:pt>
                <c:pt idx="7">
                  <c:v>-351496.14402927563</c:v>
                </c:pt>
                <c:pt idx="8">
                  <c:v>-324457.97910394671</c:v>
                </c:pt>
                <c:pt idx="9">
                  <c:v>-297419.81417861785</c:v>
                </c:pt>
                <c:pt idx="10">
                  <c:v>-270381.64925328892</c:v>
                </c:pt>
                <c:pt idx="11">
                  <c:v>-243343.48432795951</c:v>
                </c:pt>
                <c:pt idx="12">
                  <c:v>-216305.31940263114</c:v>
                </c:pt>
                <c:pt idx="13">
                  <c:v>-189267.15447730225</c:v>
                </c:pt>
                <c:pt idx="14">
                  <c:v>-162228.98955197335</c:v>
                </c:pt>
                <c:pt idx="15">
                  <c:v>-135190.82462664446</c:v>
                </c:pt>
                <c:pt idx="16">
                  <c:v>-108152.65970131503</c:v>
                </c:pt>
                <c:pt idx="17">
                  <c:v>-81114.494775986677</c:v>
                </c:pt>
                <c:pt idx="18">
                  <c:v>-54076.329850657727</c:v>
                </c:pt>
                <c:pt idx="19">
                  <c:v>-27038.164925328892</c:v>
                </c:pt>
                <c:pt idx="20">
                  <c:v>0</c:v>
                </c:pt>
                <c:pt idx="21">
                  <c:v>27038.164925328892</c:v>
                </c:pt>
                <c:pt idx="22">
                  <c:v>54076.329850657785</c:v>
                </c:pt>
                <c:pt idx="23">
                  <c:v>81114.494775986139</c:v>
                </c:pt>
                <c:pt idx="24">
                  <c:v>108152.65970131503</c:v>
                </c:pt>
                <c:pt idx="25">
                  <c:v>135190.82462664446</c:v>
                </c:pt>
                <c:pt idx="26">
                  <c:v>162228.98955197335</c:v>
                </c:pt>
                <c:pt idx="27">
                  <c:v>189267.15447730225</c:v>
                </c:pt>
                <c:pt idx="28">
                  <c:v>216305.31940263062</c:v>
                </c:pt>
                <c:pt idx="29">
                  <c:v>243343.48432795951</c:v>
                </c:pt>
                <c:pt idx="30">
                  <c:v>270381.64925328892</c:v>
                </c:pt>
                <c:pt idx="31">
                  <c:v>297419.81417861785</c:v>
                </c:pt>
                <c:pt idx="32">
                  <c:v>324457.97910394671</c:v>
                </c:pt>
                <c:pt idx="33">
                  <c:v>351496.14402927511</c:v>
                </c:pt>
                <c:pt idx="34">
                  <c:v>378534.30895460449</c:v>
                </c:pt>
                <c:pt idx="35">
                  <c:v>405572.47387993342</c:v>
                </c:pt>
                <c:pt idx="36">
                  <c:v>432610.63880526228</c:v>
                </c:pt>
                <c:pt idx="37">
                  <c:v>459648.8037305912</c:v>
                </c:pt>
                <c:pt idx="38">
                  <c:v>486686.96865591954</c:v>
                </c:pt>
                <c:pt idx="39">
                  <c:v>513725.13358124893</c:v>
                </c:pt>
                <c:pt idx="40">
                  <c:v>540763.29850657785</c:v>
                </c:pt>
              </c:numCache>
            </c:numRef>
          </c:xVal>
          <c:yVal>
            <c:numRef>
              <c:f>'4_VME_data plot'!$K$33:$K$73</c:f>
              <c:numCache>
                <c:formatCode>0.0</c:formatCode>
                <c:ptCount val="41"/>
                <c:pt idx="0">
                  <c:v>-7460.5714285714275</c:v>
                </c:pt>
                <c:pt idx="1">
                  <c:v>-7784.6649932507835</c:v>
                </c:pt>
                <c:pt idx="2">
                  <c:v>-8031.2917459618739</c:v>
                </c:pt>
                <c:pt idx="3">
                  <c:v>-8220.4255444459886</c:v>
                </c:pt>
                <c:pt idx="4">
                  <c:v>-8364.1231374237523</c:v>
                </c:pt>
                <c:pt idx="5">
                  <c:v>-8470.324828255254</c:v>
                </c:pt>
                <c:pt idx="6">
                  <c:v>-8544.5826541709175</c:v>
                </c:pt>
                <c:pt idx="7">
                  <c:v>-8590.9506779109925</c:v>
                </c:pt>
                <c:pt idx="8">
                  <c:v>-8612.4864513637531</c:v>
                </c:pt>
                <c:pt idx="9">
                  <c:v>-8611.5530982291566</c:v>
                </c:pt>
                <c:pt idx="10">
                  <c:v>-8590.0110646368339</c:v>
                </c:pt>
                <c:pt idx="11">
                  <c:v>-8549.3450113908057</c:v>
                </c:pt>
                <c:pt idx="12">
                  <c:v>-8490.7506468862503</c:v>
                </c:pt>
                <c:pt idx="13">
                  <c:v>-8415.1957663439862</c:v>
                </c:pt>
                <c:pt idx="14">
                  <c:v>-8323.4640728299964</c:v>
                </c:pt>
                <c:pt idx="15">
                  <c:v>-8216.1871263312332</c:v>
                </c:pt>
                <c:pt idx="16">
                  <c:v>-8093.8678548714215</c:v>
                </c:pt>
                <c:pt idx="17">
                  <c:v>-7956.8978853862309</c:v>
                </c:pt>
                <c:pt idx="18">
                  <c:v>-7805.5702023587464</c:v>
                </c:pt>
                <c:pt idx="19">
                  <c:v>-7640.0881469227315</c:v>
                </c:pt>
                <c:pt idx="20">
                  <c:v>-7460.5714285714275</c:v>
                </c:pt>
                <c:pt idx="21">
                  <c:v>-7267.0595754941605</c:v>
                </c:pt>
                <c:pt idx="22">
                  <c:v>-7059.5130595016044</c:v>
                </c:pt>
                <c:pt idx="23">
                  <c:v>-6837.8121711005224</c:v>
                </c:pt>
                <c:pt idx="24">
                  <c:v>-6601.7535691571438</c:v>
                </c:pt>
                <c:pt idx="25">
                  <c:v>-6351.0442691883773</c:v>
                </c:pt>
                <c:pt idx="26">
                  <c:v>-6085.2926442585685</c:v>
                </c:pt>
                <c:pt idx="27">
                  <c:v>-5803.9957663439855</c:v>
                </c:pt>
                <c:pt idx="28">
                  <c:v>-5506.5220754576858</c:v>
                </c:pt>
                <c:pt idx="29">
                  <c:v>-5192.0878685336702</c:v>
                </c:pt>
                <c:pt idx="30">
                  <c:v>-4859.7253503511201</c:v>
                </c:pt>
                <c:pt idx="31">
                  <c:v>-4508.2388125148709</c:v>
                </c:pt>
                <c:pt idx="32">
                  <c:v>-4136.1435942208973</c:v>
                </c:pt>
                <c:pt idx="33">
                  <c:v>-3741.579249339572</c:v>
                </c:pt>
                <c:pt idx="34">
                  <c:v>-3322.1826541709174</c:v>
                </c:pt>
                <c:pt idx="35">
                  <c:v>-2874.8962568266811</c:v>
                </c:pt>
                <c:pt idx="36">
                  <c:v>-2395.6659945666111</c:v>
                </c:pt>
                <c:pt idx="37">
                  <c:v>-1878.9398301602741</c:v>
                </c:pt>
                <c:pt idx="38">
                  <c:v>-1316.7774602475993</c:v>
                </c:pt>
                <c:pt idx="39">
                  <c:v>-697.12213610792719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988-184E-B05D-A219E1D9DB78}"/>
            </c:ext>
          </c:extLst>
        </c:ser>
        <c:ser>
          <c:idx val="4"/>
          <c:order val="4"/>
          <c:tx>
            <c:v>Connection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'4_VME_data plot'!$C$85:$C$89</c:f>
              <c:numCache>
                <c:formatCode>#,##0.0</c:formatCode>
                <c:ptCount val="5"/>
                <c:pt idx="0">
                  <c:v>281250</c:v>
                </c:pt>
                <c:pt idx="1">
                  <c:v>281250</c:v>
                </c:pt>
                <c:pt idx="2">
                  <c:v>-271428.57142857142</c:v>
                </c:pt>
                <c:pt idx="3">
                  <c:v>-271428.57142857142</c:v>
                </c:pt>
                <c:pt idx="4">
                  <c:v>281250</c:v>
                </c:pt>
              </c:numCache>
            </c:numRef>
          </c:xVal>
          <c:yVal>
            <c:numRef>
              <c:f>'4_VME_data plot'!$D$85:$D$89</c:f>
              <c:numCache>
                <c:formatCode>#,##0.0</c:formatCode>
                <c:ptCount val="5"/>
                <c:pt idx="0">
                  <c:v>4400</c:v>
                </c:pt>
                <c:pt idx="1">
                  <c:v>-3600</c:v>
                </c:pt>
                <c:pt idx="2">
                  <c:v>-3600</c:v>
                </c:pt>
                <c:pt idx="3">
                  <c:v>4400</c:v>
                </c:pt>
                <c:pt idx="4">
                  <c:v>4400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988-184E-B05D-A219E1D9DB78}"/>
            </c:ext>
          </c:extLst>
        </c:ser>
        <c:ser>
          <c:idx val="5"/>
          <c:order val="5"/>
          <c:tx>
            <c:v>Load / Overload points</c:v>
          </c:tx>
          <c:spPr>
            <a:ln w="47625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'4_VME_data plot'!$D$77:$D$81</c:f>
              <c:numCache>
                <c:formatCode>#,##0</c:formatCode>
                <c:ptCount val="5"/>
                <c:pt idx="0">
                  <c:v>120000</c:v>
                </c:pt>
                <c:pt idx="1">
                  <c:v>320000</c:v>
                </c:pt>
                <c:pt idx="2">
                  <c:v>480000</c:v>
                </c:pt>
                <c:pt idx="3">
                  <c:v>200000</c:v>
                </c:pt>
                <c:pt idx="4">
                  <c:v>420000</c:v>
                </c:pt>
              </c:numCache>
            </c:numRef>
          </c:xVal>
          <c:yVal>
            <c:numRef>
              <c:f>'4_VME_data plot'!$E$77:$E$81</c:f>
              <c:numCache>
                <c:formatCode>#,##0</c:formatCode>
                <c:ptCount val="5"/>
                <c:pt idx="0">
                  <c:v>4000</c:v>
                </c:pt>
                <c:pt idx="1">
                  <c:v>9000</c:v>
                </c:pt>
                <c:pt idx="2">
                  <c:v>12000</c:v>
                </c:pt>
                <c:pt idx="3">
                  <c:v>7000</c:v>
                </c:pt>
                <c:pt idx="4">
                  <c:v>11000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988-184E-B05D-A219E1D9D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Axial Force (lbf)</a:t>
                </a:r>
              </a:p>
            </c:rich>
          </c:tx>
          <c:overlay val="1"/>
        </c:title>
        <c:numFmt formatCode="#,##0" sourceLinked="0"/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Differential Pressure (psi)</a:t>
                </a:r>
              </a:p>
            </c:rich>
          </c:tx>
          <c:overlay val="1"/>
        </c:title>
        <c:numFmt formatCode="#,##0" sourceLinked="0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r"/>
      <c:overlay val="1"/>
    </c:legend>
    <c:plotVisOnly val="1"/>
    <c:dispBlanksAs val="gap"/>
    <c:showDLblsOverMax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F19881A-0088-3E44-B9D8-6DF757D30A31}">
  <sheetPr/>
  <sheetViews>
    <sheetView tabSelected="1" zoomScale="150" workbookViewId="0" zoomToFit="1"/>
  </sheetViews>
  <pageMargins left="0.7" right="0.7" top="0.75" bottom="0.75" header="0.3" footer="0.3"/>
  <pageSetup paperSize="9" orientation="landscape" horizontalDpi="0" verticalDpi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12700</xdr:colOff>
      <xdr:row>2</xdr:row>
      <xdr:rowOff>63500</xdr:rowOff>
    </xdr:from>
    <xdr:ext cx="6480000" cy="504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E90F5C-66DE-FB46-9E45-B884CF3C3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81944C-60A7-4EC6-D82B-A2243F93648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28"/>
  <sheetViews>
    <sheetView tabSelected="1" workbookViewId="0">
      <pane ySplit="1" topLeftCell="A2" activePane="bottomLeft" state="frozen"/>
      <selection pane="bottomLeft" activeCell="D13" sqref="D13"/>
    </sheetView>
  </sheetViews>
  <sheetFormatPr baseColWidth="10" defaultColWidth="8.83203125" defaultRowHeight="15" x14ac:dyDescent="0.2"/>
  <cols>
    <col min="1" max="1" width="14" customWidth="1"/>
    <col min="2" max="2" width="12" customWidth="1"/>
    <col min="3" max="3" width="78" customWidth="1"/>
    <col min="4" max="4" width="54.5" bestFit="1" customWidth="1"/>
  </cols>
  <sheetData>
    <row r="2" spans="1:4" ht="17" x14ac:dyDescent="0.2">
      <c r="A2" s="29" t="s">
        <v>0</v>
      </c>
      <c r="B2" s="30"/>
      <c r="C2" s="30"/>
      <c r="D2" s="30"/>
    </row>
    <row r="3" spans="1:4" x14ac:dyDescent="0.2">
      <c r="A3" s="2" t="s">
        <v>1</v>
      </c>
    </row>
    <row r="5" spans="1:4" x14ac:dyDescent="0.2">
      <c r="A5" s="3" t="s">
        <v>36</v>
      </c>
    </row>
    <row r="6" spans="1:4" x14ac:dyDescent="0.2">
      <c r="A6" t="s">
        <v>37</v>
      </c>
    </row>
    <row r="7" spans="1:4" x14ac:dyDescent="0.2">
      <c r="A7" t="s">
        <v>38</v>
      </c>
    </row>
    <row r="8" spans="1:4" x14ac:dyDescent="0.2">
      <c r="A8" t="s">
        <v>39</v>
      </c>
    </row>
    <row r="9" spans="1:4" x14ac:dyDescent="0.2">
      <c r="A9" t="s">
        <v>40</v>
      </c>
    </row>
    <row r="11" spans="1:4" x14ac:dyDescent="0.2">
      <c r="A11" s="3" t="s">
        <v>41</v>
      </c>
    </row>
    <row r="12" spans="1:4" x14ac:dyDescent="0.2">
      <c r="A12" t="s">
        <v>42</v>
      </c>
    </row>
    <row r="13" spans="1:4" x14ac:dyDescent="0.2">
      <c r="A13" t="s">
        <v>43</v>
      </c>
    </row>
    <row r="14" spans="1:4" x14ac:dyDescent="0.2">
      <c r="A14" t="s">
        <v>44</v>
      </c>
    </row>
    <row r="15" spans="1:4" x14ac:dyDescent="0.2">
      <c r="A15" t="s">
        <v>45</v>
      </c>
    </row>
    <row r="16" spans="1:4" x14ac:dyDescent="0.2">
      <c r="A16" t="s">
        <v>46</v>
      </c>
    </row>
    <row r="18" spans="1:4" x14ac:dyDescent="0.2">
      <c r="A18" s="31" t="s">
        <v>2</v>
      </c>
      <c r="B18" s="30"/>
      <c r="C18" s="30"/>
      <c r="D18" s="30"/>
    </row>
    <row r="19" spans="1:4" x14ac:dyDescent="0.2">
      <c r="A19" s="4" t="s">
        <v>3</v>
      </c>
      <c r="B19" s="4" t="s">
        <v>4</v>
      </c>
      <c r="C19" s="4" t="s">
        <v>5</v>
      </c>
      <c r="D19" s="4" t="s">
        <v>6</v>
      </c>
    </row>
    <row r="20" spans="1:4" x14ac:dyDescent="0.2">
      <c r="A20" s="5" t="s">
        <v>33</v>
      </c>
      <c r="B20" s="5" t="s">
        <v>26</v>
      </c>
      <c r="C20" s="5" t="s">
        <v>34</v>
      </c>
      <c r="D20" s="5" t="s">
        <v>35</v>
      </c>
    </row>
    <row r="21" spans="1:4" x14ac:dyDescent="0.2">
      <c r="A21" s="5" t="s">
        <v>29</v>
      </c>
      <c r="B21" s="5" t="s">
        <v>30</v>
      </c>
      <c r="C21" s="5" t="s">
        <v>31</v>
      </c>
      <c r="D21" s="5" t="s">
        <v>32</v>
      </c>
    </row>
    <row r="22" spans="1:4" x14ac:dyDescent="0.2">
      <c r="A22" s="6" t="s">
        <v>25</v>
      </c>
      <c r="B22" s="6" t="s">
        <v>26</v>
      </c>
      <c r="C22" s="6" t="s">
        <v>27</v>
      </c>
      <c r="D22" s="6" t="s">
        <v>28</v>
      </c>
    </row>
    <row r="23" spans="1:4" x14ac:dyDescent="0.2">
      <c r="A23" s="5" t="s">
        <v>22</v>
      </c>
      <c r="B23" s="5" t="s">
        <v>8</v>
      </c>
      <c r="C23" s="5" t="s">
        <v>23</v>
      </c>
      <c r="D23" s="5" t="s">
        <v>24</v>
      </c>
    </row>
    <row r="24" spans="1:4" x14ac:dyDescent="0.2">
      <c r="A24" s="5" t="s">
        <v>19</v>
      </c>
      <c r="B24" s="5" t="s">
        <v>8</v>
      </c>
      <c r="C24" s="5" t="s">
        <v>20</v>
      </c>
      <c r="D24" s="5" t="s">
        <v>21</v>
      </c>
    </row>
    <row r="25" spans="1:4" x14ac:dyDescent="0.2">
      <c r="A25" s="5" t="s">
        <v>16</v>
      </c>
      <c r="B25" s="5" t="s">
        <v>8</v>
      </c>
      <c r="C25" s="5" t="s">
        <v>17</v>
      </c>
      <c r="D25" s="5" t="s">
        <v>18</v>
      </c>
    </row>
    <row r="26" spans="1:4" x14ac:dyDescent="0.2">
      <c r="A26" s="5" t="s">
        <v>14</v>
      </c>
      <c r="B26" s="5" t="s">
        <v>8</v>
      </c>
      <c r="C26" s="5" t="s">
        <v>15</v>
      </c>
      <c r="D26" s="5" t="s">
        <v>13</v>
      </c>
    </row>
    <row r="27" spans="1:4" x14ac:dyDescent="0.2">
      <c r="A27" s="5" t="s">
        <v>11</v>
      </c>
      <c r="B27" s="5" t="s">
        <v>8</v>
      </c>
      <c r="C27" s="5" t="s">
        <v>12</v>
      </c>
      <c r="D27" s="5" t="s">
        <v>13</v>
      </c>
    </row>
    <row r="28" spans="1:4" x14ac:dyDescent="0.2">
      <c r="A28" s="5" t="s">
        <v>7</v>
      </c>
      <c r="B28" s="5" t="s">
        <v>8</v>
      </c>
      <c r="C28" s="5" t="s">
        <v>9</v>
      </c>
      <c r="D28" s="5" t="s">
        <v>10</v>
      </c>
    </row>
  </sheetData>
  <sortState xmlns:xlrd2="http://schemas.microsoft.com/office/spreadsheetml/2017/richdata2" ref="A20:E28">
    <sortCondition descending="1" ref="E20:E28"/>
  </sortState>
  <mergeCells count="2">
    <mergeCell ref="A2:D2"/>
    <mergeCell ref="A18:D18"/>
  </mergeCells>
  <pageMargins left="0" right="0" top="0.44999999999999996" bottom="0.36" header="0" footer="0"/>
  <pageSetup paperSize="9" scale="86" fitToHeight="10" orientation="landscape" horizontalDpi="0" verticalDpi="0"/>
  <headerFooter>
    <oddHeader>&amp;L&amp;A&amp;R&amp;D</oddHeader>
    <oddFooter>&amp;Lfd - &amp;F&amp;C&amp;P/&amp;N&amp;R&amp;T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6"/>
  <sheetViews>
    <sheetView tabSelected="1" workbookViewId="0">
      <pane ySplit="1" topLeftCell="A2" activePane="bottomLeft" state="frozen"/>
      <selection activeCell="D13" sqref="D13"/>
      <selection pane="bottomLeft" activeCell="D13" sqref="D13"/>
    </sheetView>
  </sheetViews>
  <sheetFormatPr baseColWidth="10" defaultColWidth="8.83203125" defaultRowHeight="15" x14ac:dyDescent="0.2"/>
  <cols>
    <col min="1" max="1" width="36" customWidth="1"/>
    <col min="2" max="2" width="16" customWidth="1"/>
    <col min="3" max="5" width="14" customWidth="1"/>
  </cols>
  <sheetData>
    <row r="1" spans="1:4" ht="17" x14ac:dyDescent="0.2">
      <c r="A1" s="1" t="s">
        <v>47</v>
      </c>
    </row>
    <row r="3" spans="1:4" x14ac:dyDescent="0.2">
      <c r="A3" s="31" t="s">
        <v>48</v>
      </c>
      <c r="B3" s="30"/>
      <c r="C3" s="30"/>
    </row>
    <row r="4" spans="1:4" x14ac:dyDescent="0.2">
      <c r="A4" t="s">
        <v>49</v>
      </c>
      <c r="B4" s="7" t="s">
        <v>50</v>
      </c>
      <c r="C4" t="s">
        <v>51</v>
      </c>
    </row>
    <row r="6" spans="1:4" x14ac:dyDescent="0.2">
      <c r="A6" s="8" t="s">
        <v>52</v>
      </c>
    </row>
    <row r="7" spans="1:4" x14ac:dyDescent="0.2">
      <c r="A7" s="4" t="s">
        <v>53</v>
      </c>
      <c r="B7" s="4" t="s">
        <v>54</v>
      </c>
      <c r="C7" s="4" t="s">
        <v>55</v>
      </c>
      <c r="D7" s="4" t="s">
        <v>56</v>
      </c>
    </row>
    <row r="8" spans="1:4" x14ac:dyDescent="0.2">
      <c r="A8" s="5" t="s">
        <v>50</v>
      </c>
      <c r="B8" s="9">
        <v>7</v>
      </c>
      <c r="C8" s="9">
        <v>0.40799999999999997</v>
      </c>
      <c r="D8" s="10">
        <v>80000</v>
      </c>
    </row>
    <row r="9" spans="1:4" x14ac:dyDescent="0.2">
      <c r="A9" s="5" t="s">
        <v>57</v>
      </c>
      <c r="B9" s="9">
        <v>7</v>
      </c>
      <c r="C9" s="9">
        <v>0.45300000000000001</v>
      </c>
      <c r="D9" s="10">
        <v>110000</v>
      </c>
    </row>
    <row r="10" spans="1:4" x14ac:dyDescent="0.2">
      <c r="A10" s="5" t="s">
        <v>58</v>
      </c>
      <c r="B10" s="9">
        <v>9.625</v>
      </c>
      <c r="C10" s="9">
        <v>0.47199999999999998</v>
      </c>
      <c r="D10" s="10">
        <v>80000</v>
      </c>
    </row>
    <row r="11" spans="1:4" x14ac:dyDescent="0.2">
      <c r="A11" s="5" t="s">
        <v>59</v>
      </c>
      <c r="B11" s="9">
        <v>9.625</v>
      </c>
      <c r="C11" s="9">
        <v>0.54500000000000004</v>
      </c>
      <c r="D11" s="10">
        <v>110000</v>
      </c>
    </row>
    <row r="12" spans="1:4" x14ac:dyDescent="0.2">
      <c r="A12" s="5" t="s">
        <v>60</v>
      </c>
      <c r="B12" s="9">
        <v>13.375</v>
      </c>
      <c r="C12" s="9">
        <v>0.48</v>
      </c>
      <c r="D12" s="10">
        <v>55000</v>
      </c>
    </row>
    <row r="13" spans="1:4" x14ac:dyDescent="0.2">
      <c r="A13" s="5" t="s">
        <v>108</v>
      </c>
      <c r="B13" s="15">
        <v>7</v>
      </c>
      <c r="C13" s="15">
        <v>0.40799999999999997</v>
      </c>
      <c r="D13" s="16">
        <v>80000</v>
      </c>
    </row>
    <row r="15" spans="1:4" x14ac:dyDescent="0.2">
      <c r="A15" s="3" t="s">
        <v>61</v>
      </c>
    </row>
    <row r="16" spans="1:4" x14ac:dyDescent="0.2">
      <c r="A16" t="s">
        <v>62</v>
      </c>
      <c r="B16" s="7" t="s">
        <v>63</v>
      </c>
    </row>
    <row r="17" spans="1:3" x14ac:dyDescent="0.2">
      <c r="A17" t="s">
        <v>64</v>
      </c>
      <c r="B17" s="11">
        <f>IF(B16="Standard",1,IF(B16="CwD",1.35,1.25))</f>
        <v>1</v>
      </c>
      <c r="C17" t="s">
        <v>65</v>
      </c>
    </row>
    <row r="19" spans="1:3" x14ac:dyDescent="0.2">
      <c r="A19" s="3" t="s">
        <v>66</v>
      </c>
      <c r="B19" s="28" t="str">
        <f>'1_Inputs'!$B$4</f>
        <v>7in 29ppf L80</v>
      </c>
    </row>
    <row r="20" spans="1:3" x14ac:dyDescent="0.2">
      <c r="A20" t="s">
        <v>54</v>
      </c>
      <c r="B20" s="12">
        <f>VLOOKUP($B$4,casingfull,2,0)</f>
        <v>7</v>
      </c>
    </row>
    <row r="21" spans="1:3" x14ac:dyDescent="0.2">
      <c r="A21" t="s">
        <v>55</v>
      </c>
      <c r="B21" s="12">
        <f>VLOOKUP($B$4,casingfull,3,0)</f>
        <v>0.40799999999999997</v>
      </c>
    </row>
    <row r="22" spans="1:3" x14ac:dyDescent="0.2">
      <c r="A22" t="s">
        <v>67</v>
      </c>
      <c r="B22" s="12">
        <f>B20-2*B21</f>
        <v>6.1840000000000002</v>
      </c>
    </row>
    <row r="23" spans="1:3" x14ac:dyDescent="0.2">
      <c r="A23" t="s">
        <v>56</v>
      </c>
      <c r="B23" s="13">
        <f>VLOOKUP($B$4,casingfull,4,0)</f>
        <v>80000</v>
      </c>
    </row>
    <row r="24" spans="1:3" x14ac:dyDescent="0.2">
      <c r="A24" t="s">
        <v>68</v>
      </c>
      <c r="B24" s="12">
        <f>(PI()/4)*(B20^2-B22^2)</f>
        <v>8.4494265391652785</v>
      </c>
    </row>
    <row r="25" spans="1:3" x14ac:dyDescent="0.2">
      <c r="A25" t="s">
        <v>69</v>
      </c>
      <c r="B25" s="13">
        <f>B23*B24</f>
        <v>675954.12313322234</v>
      </c>
    </row>
    <row r="26" spans="1:3" x14ac:dyDescent="0.2">
      <c r="A26" t="s">
        <v>70</v>
      </c>
      <c r="B26" s="14">
        <f>0.875*2*B23*B21/B20</f>
        <v>8159.9999999999991</v>
      </c>
    </row>
    <row r="28" spans="1:3" x14ac:dyDescent="0.2">
      <c r="A28" s="3" t="s">
        <v>71</v>
      </c>
    </row>
    <row r="29" spans="1:3" x14ac:dyDescent="0.2">
      <c r="A29" t="s">
        <v>72</v>
      </c>
      <c r="B29" s="15">
        <v>7</v>
      </c>
    </row>
    <row r="30" spans="1:3" x14ac:dyDescent="0.2">
      <c r="A30" t="s">
        <v>73</v>
      </c>
      <c r="B30" s="15">
        <v>0.40799999999999997</v>
      </c>
    </row>
    <row r="31" spans="1:3" x14ac:dyDescent="0.2">
      <c r="A31" t="s">
        <v>74</v>
      </c>
      <c r="B31" s="16">
        <v>80000</v>
      </c>
    </row>
    <row r="33" spans="1:5" x14ac:dyDescent="0.2">
      <c r="A33" s="3" t="s">
        <v>152</v>
      </c>
    </row>
    <row r="34" spans="1:5" x14ac:dyDescent="0.2">
      <c r="A34" t="s">
        <v>75</v>
      </c>
      <c r="B34" s="16">
        <v>150000</v>
      </c>
    </row>
    <row r="35" spans="1:5" x14ac:dyDescent="0.2">
      <c r="A35" t="s">
        <v>76</v>
      </c>
      <c r="B35" s="16">
        <v>5000</v>
      </c>
    </row>
    <row r="36" spans="1:5" x14ac:dyDescent="0.2">
      <c r="A36" t="s">
        <v>77</v>
      </c>
      <c r="B36" s="16">
        <v>2000</v>
      </c>
    </row>
    <row r="37" spans="1:5" x14ac:dyDescent="0.2">
      <c r="A37" t="s">
        <v>78</v>
      </c>
      <c r="B37" s="13">
        <f>B35-B36</f>
        <v>3000</v>
      </c>
    </row>
    <row r="38" spans="1:5" x14ac:dyDescent="0.2">
      <c r="A38" t="s">
        <v>79</v>
      </c>
      <c r="B38" s="13">
        <f>B34*B17</f>
        <v>150000</v>
      </c>
    </row>
    <row r="39" spans="1:5" x14ac:dyDescent="0.2">
      <c r="A39" t="s">
        <v>80</v>
      </c>
      <c r="B39" s="13">
        <f>B37*B17</f>
        <v>3000</v>
      </c>
    </row>
    <row r="41" spans="1:5" x14ac:dyDescent="0.2">
      <c r="A41" s="3" t="s">
        <v>81</v>
      </c>
    </row>
    <row r="42" spans="1:5" x14ac:dyDescent="0.2">
      <c r="A42" t="s">
        <v>82</v>
      </c>
      <c r="B42" s="17">
        <v>1.1000000000000001</v>
      </c>
    </row>
    <row r="43" spans="1:5" x14ac:dyDescent="0.2">
      <c r="A43" t="s">
        <v>83</v>
      </c>
      <c r="B43" s="17">
        <v>1</v>
      </c>
    </row>
    <row r="44" spans="1:5" x14ac:dyDescent="0.2">
      <c r="A44" t="s">
        <v>84</v>
      </c>
      <c r="B44" s="17">
        <v>1.6</v>
      </c>
    </row>
    <row r="45" spans="1:5" x14ac:dyDescent="0.2">
      <c r="A45" t="s">
        <v>85</v>
      </c>
      <c r="B45" s="17">
        <v>1.3</v>
      </c>
    </row>
    <row r="46" spans="1:5" x14ac:dyDescent="0.2">
      <c r="A46" t="s">
        <v>86</v>
      </c>
      <c r="B46" s="17">
        <v>1.25</v>
      </c>
    </row>
    <row r="48" spans="1:5" x14ac:dyDescent="0.2">
      <c r="A48" s="31" t="s">
        <v>87</v>
      </c>
      <c r="B48" s="30"/>
      <c r="C48" s="30"/>
      <c r="D48" s="30"/>
      <c r="E48" s="30"/>
    </row>
    <row r="49" spans="1:5" x14ac:dyDescent="0.2">
      <c r="A49" s="4" t="s">
        <v>88</v>
      </c>
      <c r="B49" s="4" t="s">
        <v>89</v>
      </c>
      <c r="C49" s="4" t="s">
        <v>78</v>
      </c>
      <c r="D49" s="4" t="s">
        <v>90</v>
      </c>
      <c r="E49" s="4" t="s">
        <v>91</v>
      </c>
    </row>
    <row r="50" spans="1:5" x14ac:dyDescent="0.2">
      <c r="A50" s="5" t="s">
        <v>92</v>
      </c>
      <c r="B50" s="16">
        <v>120000</v>
      </c>
      <c r="C50" s="16">
        <v>4000</v>
      </c>
      <c r="D50" s="13">
        <f t="shared" ref="D50:E54" si="0">B50*$B$17</f>
        <v>120000</v>
      </c>
      <c r="E50" s="13">
        <f t="shared" si="0"/>
        <v>4000</v>
      </c>
    </row>
    <row r="51" spans="1:5" x14ac:dyDescent="0.2">
      <c r="A51" s="5" t="s">
        <v>93</v>
      </c>
      <c r="B51" s="16">
        <v>320000</v>
      </c>
      <c r="C51" s="16">
        <v>9000</v>
      </c>
      <c r="D51" s="13">
        <f t="shared" si="0"/>
        <v>320000</v>
      </c>
      <c r="E51" s="13">
        <f t="shared" si="0"/>
        <v>9000</v>
      </c>
    </row>
    <row r="52" spans="1:5" x14ac:dyDescent="0.2">
      <c r="A52" s="5" t="s">
        <v>94</v>
      </c>
      <c r="B52" s="16">
        <v>480000</v>
      </c>
      <c r="C52" s="16">
        <v>12000</v>
      </c>
      <c r="D52" s="13">
        <f t="shared" si="0"/>
        <v>480000</v>
      </c>
      <c r="E52" s="13">
        <f t="shared" si="0"/>
        <v>12000</v>
      </c>
    </row>
    <row r="53" spans="1:5" x14ac:dyDescent="0.2">
      <c r="A53" s="5" t="s">
        <v>95</v>
      </c>
      <c r="B53" s="16">
        <v>200000</v>
      </c>
      <c r="C53" s="16">
        <v>7000</v>
      </c>
      <c r="D53" s="13">
        <f t="shared" si="0"/>
        <v>200000</v>
      </c>
      <c r="E53" s="13">
        <f t="shared" si="0"/>
        <v>7000</v>
      </c>
    </row>
    <row r="54" spans="1:5" x14ac:dyDescent="0.2">
      <c r="A54" s="5" t="s">
        <v>96</v>
      </c>
      <c r="B54" s="16">
        <v>420000</v>
      </c>
      <c r="C54" s="16">
        <v>11000</v>
      </c>
      <c r="D54" s="13">
        <f t="shared" si="0"/>
        <v>420000</v>
      </c>
      <c r="E54" s="13">
        <f t="shared" si="0"/>
        <v>11000</v>
      </c>
    </row>
    <row r="56" spans="1:5" x14ac:dyDescent="0.2">
      <c r="A56" s="32" t="s">
        <v>97</v>
      </c>
      <c r="B56" s="30"/>
      <c r="C56" s="30"/>
      <c r="D56" s="30"/>
      <c r="E56" s="30"/>
    </row>
  </sheetData>
  <mergeCells count="3">
    <mergeCell ref="A56:E56"/>
    <mergeCell ref="A48:E48"/>
    <mergeCell ref="A3:C3"/>
  </mergeCells>
  <dataValidations count="2">
    <dataValidation type="list" sqref="B4" xr:uid="{00000000-0002-0000-0100-000000000000}">
      <formula1>casinglist</formula1>
    </dataValidation>
    <dataValidation type="list" sqref="B16" xr:uid="{00000000-0002-0000-0100-000001000000}">
      <formula1>"Standard,CwD,SET"</formula1>
    </dataValidation>
  </dataValidations>
  <pageMargins left="0" right="0" top="0.44999999999999996" bottom="0.36" header="0" footer="0"/>
  <pageSetup paperSize="9" scale="98" orientation="portrait" horizontalDpi="0" verticalDpi="0"/>
  <headerFooter>
    <oddHeader>&amp;L&amp;A&amp;R&amp;D</oddHeader>
    <oddFooter>&amp;Lfd - &amp;F&amp;C&amp;P/&amp;N&amp;R&amp;T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29"/>
  <sheetViews>
    <sheetView tabSelected="1" workbookViewId="0">
      <pane ySplit="2" topLeftCell="A3" activePane="bottomLeft" state="frozen"/>
      <selection activeCell="D13" sqref="D13"/>
      <selection pane="bottomLeft" activeCell="D13" sqref="D13"/>
    </sheetView>
  </sheetViews>
  <sheetFormatPr baseColWidth="10" defaultColWidth="8.83203125" defaultRowHeight="15" x14ac:dyDescent="0.2"/>
  <cols>
    <col min="1" max="1" width="28" customWidth="1"/>
    <col min="2" max="2" width="16" customWidth="1"/>
    <col min="3" max="3" width="18" customWidth="1"/>
    <col min="4" max="5" width="12" customWidth="1"/>
  </cols>
  <sheetData>
    <row r="2" spans="1:5" ht="17" x14ac:dyDescent="0.2">
      <c r="A2" s="1" t="s">
        <v>98</v>
      </c>
    </row>
    <row r="3" spans="1:5" x14ac:dyDescent="0.2">
      <c r="A3" s="18" t="str">
        <f>"Casing under study: "&amp;'1_Inputs'!B4</f>
        <v>Casing under study: 7in 29ppf L80</v>
      </c>
    </row>
    <row r="4" spans="1:5" x14ac:dyDescent="0.2">
      <c r="B4" s="28" t="str">
        <f>'1_Inputs'!$B$4</f>
        <v>7in 29ppf L80</v>
      </c>
    </row>
    <row r="5" spans="1:5" x14ac:dyDescent="0.2">
      <c r="A5" t="s">
        <v>99</v>
      </c>
      <c r="B5" s="7" t="s">
        <v>100</v>
      </c>
    </row>
    <row r="7" spans="1:5" x14ac:dyDescent="0.2">
      <c r="A7" s="33" t="s">
        <v>101</v>
      </c>
      <c r="B7" s="30"/>
      <c r="C7" s="30"/>
      <c r="D7" s="30"/>
      <c r="E7" s="30"/>
    </row>
    <row r="8" spans="1:5" x14ac:dyDescent="0.2">
      <c r="A8" s="4" t="s">
        <v>102</v>
      </c>
      <c r="B8" s="4" t="s">
        <v>103</v>
      </c>
      <c r="C8" s="4" t="s">
        <v>104</v>
      </c>
      <c r="D8" s="4" t="s">
        <v>76</v>
      </c>
      <c r="E8" s="4" t="s">
        <v>77</v>
      </c>
    </row>
    <row r="9" spans="1:5" x14ac:dyDescent="0.2">
      <c r="A9" s="5" t="s">
        <v>100</v>
      </c>
      <c r="B9" s="10">
        <v>450000</v>
      </c>
      <c r="C9" s="10">
        <v>380000</v>
      </c>
      <c r="D9" s="10">
        <v>5500</v>
      </c>
      <c r="E9" s="10">
        <v>4500</v>
      </c>
    </row>
    <row r="10" spans="1:5" x14ac:dyDescent="0.2">
      <c r="A10" s="5" t="s">
        <v>105</v>
      </c>
      <c r="B10" s="10">
        <v>580000</v>
      </c>
      <c r="C10" s="10">
        <v>520000</v>
      </c>
      <c r="D10" s="10">
        <v>7500</v>
      </c>
      <c r="E10" s="10">
        <v>6000</v>
      </c>
    </row>
    <row r="11" spans="1:5" x14ac:dyDescent="0.2">
      <c r="A11" s="5" t="s">
        <v>106</v>
      </c>
      <c r="B11" s="10">
        <v>400000</v>
      </c>
      <c r="C11" s="10">
        <v>360000</v>
      </c>
      <c r="D11" s="10">
        <v>5000</v>
      </c>
      <c r="E11" s="10">
        <v>4000</v>
      </c>
    </row>
    <row r="12" spans="1:5" x14ac:dyDescent="0.2">
      <c r="A12" s="5" t="s">
        <v>153</v>
      </c>
      <c r="B12" s="16">
        <v>500000</v>
      </c>
      <c r="C12" s="16">
        <v>450000</v>
      </c>
      <c r="D12" s="16">
        <v>6500</v>
      </c>
      <c r="E12" s="16">
        <v>5000</v>
      </c>
    </row>
    <row r="14" spans="1:5" x14ac:dyDescent="0.2">
      <c r="A14" s="3" t="s">
        <v>107</v>
      </c>
    </row>
    <row r="15" spans="1:5" x14ac:dyDescent="0.2">
      <c r="A15" t="s">
        <v>103</v>
      </c>
      <c r="B15" s="13">
        <f>VLOOKUP($B$5,connectionfull,2,0)</f>
        <v>450000</v>
      </c>
    </row>
    <row r="16" spans="1:5" x14ac:dyDescent="0.2">
      <c r="A16" t="s">
        <v>104</v>
      </c>
      <c r="B16" s="13">
        <f>VLOOKUP($B$5,connectionfull,3,0)</f>
        <v>380000</v>
      </c>
    </row>
    <row r="17" spans="1:2" x14ac:dyDescent="0.2">
      <c r="A17" t="s">
        <v>76</v>
      </c>
      <c r="B17" s="13">
        <f>VLOOKUP($B$5,connectionfull,4,0)</f>
        <v>5500</v>
      </c>
    </row>
    <row r="18" spans="1:2" x14ac:dyDescent="0.2">
      <c r="A18" t="s">
        <v>77</v>
      </c>
      <c r="B18" s="13">
        <f>VLOOKUP($B$5,connectionfull,5,0)</f>
        <v>4500</v>
      </c>
    </row>
    <row r="20" spans="1:2" x14ac:dyDescent="0.2">
      <c r="A20" s="3" t="s">
        <v>108</v>
      </c>
    </row>
    <row r="21" spans="1:2" x14ac:dyDescent="0.2">
      <c r="A21" t="s">
        <v>109</v>
      </c>
      <c r="B21" s="16">
        <v>500000</v>
      </c>
    </row>
    <row r="22" spans="1:2" x14ac:dyDescent="0.2">
      <c r="A22" t="s">
        <v>110</v>
      </c>
      <c r="B22" s="16">
        <v>450000</v>
      </c>
    </row>
    <row r="23" spans="1:2" x14ac:dyDescent="0.2">
      <c r="A23" t="s">
        <v>111</v>
      </c>
      <c r="B23" s="16">
        <v>6500</v>
      </c>
    </row>
    <row r="24" spans="1:2" x14ac:dyDescent="0.2">
      <c r="A24" t="s">
        <v>112</v>
      </c>
      <c r="B24" s="16">
        <v>5000</v>
      </c>
    </row>
    <row r="26" spans="1:2" x14ac:dyDescent="0.2">
      <c r="A26" s="3" t="s">
        <v>113</v>
      </c>
    </row>
    <row r="27" spans="1:2" x14ac:dyDescent="0.2">
      <c r="A27" t="s">
        <v>114</v>
      </c>
      <c r="B27" s="17">
        <v>1.6</v>
      </c>
    </row>
    <row r="28" spans="1:2" x14ac:dyDescent="0.2">
      <c r="A28" t="s">
        <v>115</v>
      </c>
      <c r="B28" s="17">
        <v>1.4</v>
      </c>
    </row>
    <row r="29" spans="1:2" x14ac:dyDescent="0.2">
      <c r="A29" t="s">
        <v>116</v>
      </c>
      <c r="B29" s="17">
        <v>1.25</v>
      </c>
    </row>
  </sheetData>
  <mergeCells count="1">
    <mergeCell ref="A7:E7"/>
  </mergeCells>
  <dataValidations count="1">
    <dataValidation type="list" sqref="B5" xr:uid="{00000000-0002-0000-0200-000000000000}">
      <formula1>connectionlist</formula1>
    </dataValidation>
  </dataValidations>
  <pageMargins left="0" right="0" top="0.44999999999999996" bottom="0.36" header="0" footer="0"/>
  <pageSetup paperSize="9" orientation="portrait" horizontalDpi="0" verticalDpi="0"/>
  <headerFooter>
    <oddHeader>&amp;L&amp;A&amp;R&amp;D</oddHeader>
    <oddFooter>&amp;Lfd - &amp;F&amp;C&amp;P/&amp;N&amp;R&amp;T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E18"/>
  <sheetViews>
    <sheetView tabSelected="1" workbookViewId="0">
      <pane ySplit="1" topLeftCell="A2" activePane="bottomLeft" state="frozen"/>
      <selection activeCell="D13" sqref="D13"/>
      <selection pane="bottomLeft" activeCell="D13" sqref="D13"/>
    </sheetView>
  </sheetViews>
  <sheetFormatPr baseColWidth="10" defaultColWidth="8.83203125" defaultRowHeight="15" x14ac:dyDescent="0.2"/>
  <cols>
    <col min="1" max="1" width="22" customWidth="1"/>
    <col min="2" max="2" width="14" customWidth="1"/>
    <col min="3" max="4" width="10" customWidth="1"/>
  </cols>
  <sheetData>
    <row r="2" spans="1:5" ht="17" x14ac:dyDescent="0.2">
      <c r="A2" s="1" t="s">
        <v>117</v>
      </c>
    </row>
    <row r="3" spans="1:5" x14ac:dyDescent="0.2">
      <c r="A3" s="34" t="str">
        <f>"Casing under study: "&amp;'1_Inputs'!B4&amp;"  |  Mode: "&amp;'1_Inputs'!B16&amp;"  |  Connection: "&amp;'2_Connection'!B5</f>
        <v>Casing under study: 7in 29ppf L80  |  Mode: Standard  |  Connection: BTC (standard)</v>
      </c>
      <c r="B3" s="30"/>
      <c r="C3" s="30"/>
      <c r="D3" s="30"/>
      <c r="E3" s="30"/>
    </row>
    <row r="4" spans="1:5" x14ac:dyDescent="0.2">
      <c r="B4" s="28" t="str">
        <f>'1_Inputs'!$B$4</f>
        <v>7in 29ppf L80</v>
      </c>
    </row>
    <row r="5" spans="1:5" x14ac:dyDescent="0.2">
      <c r="A5" t="s">
        <v>118</v>
      </c>
      <c r="B5" s="14">
        <f>'1_Inputs'!B26</f>
        <v>8159.9999999999991</v>
      </c>
    </row>
    <row r="6" spans="1:5" x14ac:dyDescent="0.2">
      <c r="A6" t="s">
        <v>119</v>
      </c>
      <c r="B6" s="13">
        <f>'1_Inputs'!B25</f>
        <v>675954.12313322234</v>
      </c>
    </row>
    <row r="7" spans="1:5" x14ac:dyDescent="0.2">
      <c r="A7" t="s">
        <v>120</v>
      </c>
      <c r="B7" s="19">
        <f>'1_Inputs'!B38</f>
        <v>150000</v>
      </c>
    </row>
    <row r="8" spans="1:5" x14ac:dyDescent="0.2">
      <c r="A8" t="s">
        <v>91</v>
      </c>
      <c r="B8" s="19">
        <f>'1_Inputs'!B39</f>
        <v>3000</v>
      </c>
    </row>
    <row r="10" spans="1:5" x14ac:dyDescent="0.2">
      <c r="A10" s="3" t="s">
        <v>121</v>
      </c>
    </row>
    <row r="11" spans="1:5" x14ac:dyDescent="0.2">
      <c r="A11" t="s">
        <v>122</v>
      </c>
      <c r="B11" s="20">
        <f>IF(B8=0,"n/a",B5/ABS(B8))</f>
        <v>2.7199999999999998</v>
      </c>
      <c r="C11">
        <f>'1_Inputs'!B42</f>
        <v>1.1000000000000001</v>
      </c>
      <c r="D11" t="str">
        <f>IF(B11="n/a","n/a",IF(B11&gt;=C11,"PASS","FAIL"))</f>
        <v>PASS</v>
      </c>
    </row>
    <row r="12" spans="1:5" x14ac:dyDescent="0.2">
      <c r="A12" t="s">
        <v>123</v>
      </c>
      <c r="B12" s="20">
        <f>IF(B7=0,"n/a",B6/ABS(B7))</f>
        <v>4.5063608208881485</v>
      </c>
      <c r="C12">
        <f>IF(B7&gt;=0,'1_Inputs'!B44,'1_Inputs'!B45)</f>
        <v>1.6</v>
      </c>
      <c r="D12" t="str">
        <f>IF(B12="n/a","n/a",IF(B12&gt;=C12,"PASS","FAIL"))</f>
        <v>PASS</v>
      </c>
    </row>
    <row r="14" spans="1:5" x14ac:dyDescent="0.2">
      <c r="A14" s="3" t="s">
        <v>124</v>
      </c>
      <c r="B14" s="28" t="str">
        <f>'2_Connection'!$B$5</f>
        <v>BTC (standard)</v>
      </c>
    </row>
    <row r="15" spans="1:5" x14ac:dyDescent="0.2">
      <c r="A15" t="s">
        <v>125</v>
      </c>
      <c r="B15" s="20">
        <f>IF(B7&lt;=0,"n/a",'2_Connection'!B15/ABS(B7))</f>
        <v>3</v>
      </c>
      <c r="C15">
        <f>'2_Connection'!B27</f>
        <v>1.6</v>
      </c>
      <c r="D15" t="str">
        <f>IF(B15="n/a","n/a",IF(B15&gt;=C15,"PASS","FAIL"))</f>
        <v>PASS</v>
      </c>
    </row>
    <row r="16" spans="1:5" x14ac:dyDescent="0.2">
      <c r="A16" t="s">
        <v>126</v>
      </c>
      <c r="B16" s="20">
        <f>IF(B8=0,"n/a",IF(B8&gt;0,'2_Connection'!B17/ABS(B8),'2_Connection'!B18/ABS(B8)))</f>
        <v>1.8333333333333333</v>
      </c>
      <c r="C16">
        <f>'2_Connection'!B29</f>
        <v>1.25</v>
      </c>
      <c r="D16" t="str">
        <f>IF(B16="n/a","n/a",IF(B16&gt;=C16,"PASS","FAIL"))</f>
        <v>PASS</v>
      </c>
    </row>
    <row r="18" spans="1:2" ht="16" x14ac:dyDescent="0.2">
      <c r="A18" t="s">
        <v>33</v>
      </c>
      <c r="B18" s="21" t="str">
        <f>IF(AND(OR(D11="PASS",D11="n/a"),OR(D12="PASS",D12="n/a"),OR(D15="PASS",D15="n/a"),OR(D16="PASS",D16="n/a")),"ACCEPTABLE","NOT ACCEPTABLE")</f>
        <v>ACCEPTABLE</v>
      </c>
    </row>
  </sheetData>
  <mergeCells count="1">
    <mergeCell ref="A3:E3"/>
  </mergeCells>
  <conditionalFormatting sqref="D11:D12">
    <cfRule type="expression" dxfId="3" priority="1">
      <formula>D11="PASS"</formula>
    </cfRule>
    <cfRule type="expression" dxfId="2" priority="2">
      <formula>D11="FAIL"</formula>
    </cfRule>
  </conditionalFormatting>
  <conditionalFormatting sqref="D15:D16">
    <cfRule type="expression" dxfId="1" priority="3">
      <formula>D15="PASS"</formula>
    </cfRule>
    <cfRule type="expression" dxfId="0" priority="4">
      <formula>D15="FAIL"</formula>
    </cfRule>
  </conditionalFormatting>
  <pageMargins left="0" right="0" top="0.44999999999999996" bottom="0.36" header="0" footer="0"/>
  <pageSetup paperSize="9" orientation="portrait" horizontalDpi="0" verticalDpi="0"/>
  <headerFooter>
    <oddHeader>&amp;L&amp;A&amp;R&amp;D</oddHeader>
    <oddFooter>&amp;Lfd - &amp;F&amp;C&amp;P/&amp;N&amp;R&amp;T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89"/>
  <sheetViews>
    <sheetView tabSelected="1" workbookViewId="0">
      <pane ySplit="1" topLeftCell="A2" activePane="bottomLeft" state="frozen"/>
      <selection activeCell="D13" sqref="D13"/>
      <selection pane="bottomLeft" activeCell="N12" sqref="N12"/>
    </sheetView>
  </sheetViews>
  <sheetFormatPr baseColWidth="10" defaultColWidth="8.83203125" defaultRowHeight="15" x14ac:dyDescent="0.2"/>
  <cols>
    <col min="1" max="1" width="28" customWidth="1"/>
    <col min="2" max="5" width="12" customWidth="1"/>
    <col min="6" max="6" width="21.6640625" customWidth="1"/>
    <col min="7" max="9" width="12" customWidth="1"/>
  </cols>
  <sheetData>
    <row r="2" spans="1:7" ht="17" x14ac:dyDescent="0.2">
      <c r="A2" s="29" t="s">
        <v>127</v>
      </c>
      <c r="B2" s="30"/>
      <c r="C2" s="30"/>
      <c r="D2" s="30"/>
      <c r="E2" s="30"/>
      <c r="F2" s="30"/>
      <c r="G2" s="30"/>
    </row>
    <row r="3" spans="1:7" x14ac:dyDescent="0.2">
      <c r="A3" s="34" t="str">
        <f>"Casing: "&amp;'1_Inputs'!B4&amp;"  |  Mode: "&amp;'1_Inputs'!B16&amp;"  |  Connection: "&amp;'2_Connection'!B5</f>
        <v>Casing: 7in 29ppf L80  |  Mode: Standard  |  Connection: BTC (standard)</v>
      </c>
      <c r="B3" s="30"/>
      <c r="C3" s="30"/>
      <c r="D3" s="30"/>
      <c r="E3" s="30"/>
      <c r="F3" s="30"/>
      <c r="G3" s="30"/>
    </row>
    <row r="5" spans="1:7" x14ac:dyDescent="0.2">
      <c r="A5" s="8" t="s">
        <v>128</v>
      </c>
      <c r="B5" s="28" t="str">
        <f>'1_Inputs'!$B$4</f>
        <v>7in 29ppf L80</v>
      </c>
    </row>
    <row r="6" spans="1:7" x14ac:dyDescent="0.2">
      <c r="A6" t="s">
        <v>56</v>
      </c>
      <c r="B6" s="22">
        <f>'1_Inputs'!B23</f>
        <v>80000</v>
      </c>
    </row>
    <row r="7" spans="1:7" x14ac:dyDescent="0.2">
      <c r="A7" t="s">
        <v>68</v>
      </c>
      <c r="B7" s="23">
        <f>'1_Inputs'!B24</f>
        <v>8.4494265391652785</v>
      </c>
    </row>
    <row r="8" spans="1:7" x14ac:dyDescent="0.2">
      <c r="A8" t="s">
        <v>69</v>
      </c>
      <c r="B8" s="22">
        <f>'1_Inputs'!B25</f>
        <v>675954.12313322234</v>
      </c>
    </row>
    <row r="9" spans="1:7" x14ac:dyDescent="0.2">
      <c r="A9" t="s">
        <v>129</v>
      </c>
      <c r="B9" s="24">
        <f>'1_Inputs'!B26</f>
        <v>8159.9999999999991</v>
      </c>
    </row>
    <row r="10" spans="1:7" x14ac:dyDescent="0.2">
      <c r="A10" t="s">
        <v>130</v>
      </c>
      <c r="B10" s="20">
        <f>'1_Inputs'!B46</f>
        <v>1.25</v>
      </c>
    </row>
    <row r="11" spans="1:7" x14ac:dyDescent="0.2">
      <c r="A11" t="s">
        <v>54</v>
      </c>
      <c r="B11" s="23">
        <f>'1_Inputs'!B20</f>
        <v>7</v>
      </c>
    </row>
    <row r="12" spans="1:7" x14ac:dyDescent="0.2">
      <c r="A12" t="s">
        <v>55</v>
      </c>
      <c r="B12" s="23">
        <f>'1_Inputs'!B21</f>
        <v>0.40799999999999997</v>
      </c>
    </row>
    <row r="14" spans="1:7" x14ac:dyDescent="0.2">
      <c r="A14" s="8" t="s">
        <v>131</v>
      </c>
      <c r="B14" s="28" t="str">
        <f>'2_Connection'!$B$5</f>
        <v>BTC (standard)</v>
      </c>
    </row>
    <row r="15" spans="1:7" x14ac:dyDescent="0.2">
      <c r="A15" t="s">
        <v>132</v>
      </c>
      <c r="B15" s="22">
        <f>'2_Connection'!B15/'2_Connection'!B27</f>
        <v>281250</v>
      </c>
    </row>
    <row r="16" spans="1:7" x14ac:dyDescent="0.2">
      <c r="A16" t="s">
        <v>133</v>
      </c>
      <c r="B16" s="22">
        <f>-'2_Connection'!B16/'2_Connection'!B28</f>
        <v>-271428.57142857142</v>
      </c>
    </row>
    <row r="17" spans="1:11" x14ac:dyDescent="0.2">
      <c r="A17" t="s">
        <v>134</v>
      </c>
      <c r="B17" s="24">
        <f>'2_Connection'!B17/'2_Connection'!B29</f>
        <v>4400</v>
      </c>
    </row>
    <row r="18" spans="1:11" x14ac:dyDescent="0.2">
      <c r="A18" t="s">
        <v>135</v>
      </c>
      <c r="B18" s="24">
        <f>-'2_Connection'!B18/'2_Connection'!B29</f>
        <v>-3600</v>
      </c>
    </row>
    <row r="19" spans="1:11" x14ac:dyDescent="0.2">
      <c r="B19" s="24"/>
    </row>
    <row r="20" spans="1:11" x14ac:dyDescent="0.2">
      <c r="B20" s="24"/>
    </row>
    <row r="21" spans="1:11" x14ac:dyDescent="0.2">
      <c r="B21" s="24"/>
    </row>
    <row r="22" spans="1:11" x14ac:dyDescent="0.2">
      <c r="B22" s="24"/>
    </row>
    <row r="23" spans="1:11" x14ac:dyDescent="0.2">
      <c r="B23" s="24"/>
    </row>
    <row r="24" spans="1:11" x14ac:dyDescent="0.2">
      <c r="B24" s="24"/>
    </row>
    <row r="25" spans="1:11" x14ac:dyDescent="0.2">
      <c r="B25" s="24"/>
    </row>
    <row r="26" spans="1:11" x14ac:dyDescent="0.2">
      <c r="B26" s="24"/>
    </row>
    <row r="27" spans="1:11" x14ac:dyDescent="0.2">
      <c r="B27" s="24"/>
    </row>
    <row r="28" spans="1:11" x14ac:dyDescent="0.2">
      <c r="B28" s="24"/>
    </row>
    <row r="29" spans="1:11" x14ac:dyDescent="0.2">
      <c r="B29" s="24"/>
    </row>
    <row r="31" spans="1:11" x14ac:dyDescent="0.2">
      <c r="C31" s="31" t="s">
        <v>136</v>
      </c>
      <c r="D31" s="30"/>
      <c r="E31" s="30"/>
      <c r="F31" s="30"/>
      <c r="G31" s="30"/>
      <c r="H31" s="30"/>
      <c r="I31" s="30"/>
    </row>
    <row r="32" spans="1:11" x14ac:dyDescent="0.2">
      <c r="C32" s="4" t="s">
        <v>137</v>
      </c>
      <c r="D32" s="4" t="s">
        <v>138</v>
      </c>
      <c r="E32" s="4" t="s">
        <v>139</v>
      </c>
      <c r="F32" s="4" t="s">
        <v>140</v>
      </c>
      <c r="G32" s="4" t="s">
        <v>141</v>
      </c>
      <c r="H32" s="4" t="s">
        <v>142</v>
      </c>
      <c r="I32" s="4" t="s">
        <v>143</v>
      </c>
      <c r="J32" s="4" t="s">
        <v>144</v>
      </c>
      <c r="K32" s="4" t="s">
        <v>145</v>
      </c>
    </row>
    <row r="33" spans="3:11" x14ac:dyDescent="0.2">
      <c r="C33" s="25">
        <v>0</v>
      </c>
      <c r="D33" s="25">
        <f>-1*$B$8</f>
        <v>-675954.12313322234</v>
      </c>
      <c r="E33" s="25">
        <f t="shared" ref="E33:E73" si="0">D33/$B$7</f>
        <v>-80000</v>
      </c>
      <c r="F33" s="25">
        <f t="shared" ref="F33:F73" si="1">4*$B$6^2-3*E33^2</f>
        <v>6400000000</v>
      </c>
      <c r="G33" s="25">
        <f t="shared" ref="G33:G73" si="2">IF(F33&lt;0,NA(),((E33+SQRT(F33))/2)*(2*$B$12/$B$11))</f>
        <v>0</v>
      </c>
      <c r="H33" s="25">
        <f t="shared" ref="H33:H73" si="3">IF(F33&lt;0,NA(),((E33-SQRT(F33))/2)*(2*$B$12/$B$11))</f>
        <v>-9325.7142857142844</v>
      </c>
      <c r="I33" s="25">
        <f t="shared" ref="I33:I73" si="4">D33/$B$10</f>
        <v>-540763.29850657785</v>
      </c>
      <c r="J33" s="25">
        <f t="shared" ref="J33:J73" si="5">G33/$B$10</f>
        <v>0</v>
      </c>
      <c r="K33" s="25">
        <f t="shared" ref="K33:K73" si="6">H33/$B$10</f>
        <v>-7460.5714285714275</v>
      </c>
    </row>
    <row r="34" spans="3:11" x14ac:dyDescent="0.2">
      <c r="C34" s="25">
        <v>1</v>
      </c>
      <c r="D34" s="25">
        <f>-0.95*$B$8</f>
        <v>-642156.41697656119</v>
      </c>
      <c r="E34" s="25">
        <f t="shared" si="0"/>
        <v>-76000</v>
      </c>
      <c r="F34" s="25">
        <f t="shared" si="1"/>
        <v>8272000000</v>
      </c>
      <c r="G34" s="25">
        <f t="shared" si="2"/>
        <v>871.40267013490904</v>
      </c>
      <c r="H34" s="25">
        <f t="shared" si="3"/>
        <v>-9730.8312415634791</v>
      </c>
      <c r="I34" s="25">
        <f t="shared" si="4"/>
        <v>-513725.13358124893</v>
      </c>
      <c r="J34" s="25">
        <f t="shared" si="5"/>
        <v>697.12213610792719</v>
      </c>
      <c r="K34" s="25">
        <f t="shared" si="6"/>
        <v>-7784.6649932507835</v>
      </c>
    </row>
    <row r="35" spans="3:11" x14ac:dyDescent="0.2">
      <c r="C35" s="25">
        <v>2</v>
      </c>
      <c r="D35" s="25">
        <f>-0.9*$B$8</f>
        <v>-608358.71081990015</v>
      </c>
      <c r="E35" s="25">
        <f t="shared" si="0"/>
        <v>-72000.000000000015</v>
      </c>
      <c r="F35" s="25">
        <f t="shared" si="1"/>
        <v>10047999999.999994</v>
      </c>
      <c r="G35" s="25">
        <f t="shared" si="2"/>
        <v>1645.9718253094838</v>
      </c>
      <c r="H35" s="25">
        <f t="shared" si="3"/>
        <v>-10039.114682452342</v>
      </c>
      <c r="I35" s="25">
        <f t="shared" si="4"/>
        <v>-486686.96865592012</v>
      </c>
      <c r="J35" s="25">
        <f t="shared" si="5"/>
        <v>1316.777460247587</v>
      </c>
      <c r="K35" s="25">
        <f t="shared" si="6"/>
        <v>-8031.2917459618739</v>
      </c>
    </row>
    <row r="36" spans="3:11" x14ac:dyDescent="0.2">
      <c r="C36" s="25">
        <v>3</v>
      </c>
      <c r="D36" s="25">
        <f>-0.85*$B$8</f>
        <v>-574561.004663239</v>
      </c>
      <c r="E36" s="25">
        <f t="shared" si="0"/>
        <v>-68000</v>
      </c>
      <c r="F36" s="25">
        <f t="shared" si="1"/>
        <v>11728000000</v>
      </c>
      <c r="G36" s="25">
        <f t="shared" si="2"/>
        <v>2348.6747877003427</v>
      </c>
      <c r="H36" s="25">
        <f t="shared" si="3"/>
        <v>-10275.531930557485</v>
      </c>
      <c r="I36" s="25">
        <f t="shared" si="4"/>
        <v>-459648.8037305912</v>
      </c>
      <c r="J36" s="25">
        <f t="shared" si="5"/>
        <v>1878.9398301602741</v>
      </c>
      <c r="K36" s="25">
        <f t="shared" si="6"/>
        <v>-8220.4255444459886</v>
      </c>
    </row>
    <row r="37" spans="3:11" x14ac:dyDescent="0.2">
      <c r="C37" s="25">
        <v>4</v>
      </c>
      <c r="D37" s="25">
        <f>-0.8*$B$8</f>
        <v>-540763.29850657785</v>
      </c>
      <c r="E37" s="25">
        <f t="shared" si="0"/>
        <v>-64000</v>
      </c>
      <c r="F37" s="25">
        <f t="shared" si="1"/>
        <v>13312000000</v>
      </c>
      <c r="G37" s="25">
        <f t="shared" si="2"/>
        <v>2994.5824932082637</v>
      </c>
      <c r="H37" s="25">
        <f t="shared" si="3"/>
        <v>-10455.153921779691</v>
      </c>
      <c r="I37" s="25">
        <f t="shared" si="4"/>
        <v>-432610.63880526228</v>
      </c>
      <c r="J37" s="25">
        <f t="shared" si="5"/>
        <v>2395.6659945666111</v>
      </c>
      <c r="K37" s="25">
        <f t="shared" si="6"/>
        <v>-8364.1231374237523</v>
      </c>
    </row>
    <row r="38" spans="3:11" x14ac:dyDescent="0.2">
      <c r="C38" s="25">
        <v>5</v>
      </c>
      <c r="D38" s="25">
        <f>-0.75*$B$8</f>
        <v>-506965.59234991675</v>
      </c>
      <c r="E38" s="25">
        <f t="shared" si="0"/>
        <v>-60000.000000000007</v>
      </c>
      <c r="F38" s="25">
        <f t="shared" si="1"/>
        <v>14799999999.999996</v>
      </c>
      <c r="G38" s="25">
        <f t="shared" si="2"/>
        <v>3593.6203210333515</v>
      </c>
      <c r="H38" s="25">
        <f t="shared" si="3"/>
        <v>-10587.906035319067</v>
      </c>
      <c r="I38" s="25">
        <f t="shared" si="4"/>
        <v>-405572.47387993342</v>
      </c>
      <c r="J38" s="25">
        <f t="shared" si="5"/>
        <v>2874.8962568266811</v>
      </c>
      <c r="K38" s="25">
        <f t="shared" si="6"/>
        <v>-8470.324828255254</v>
      </c>
    </row>
    <row r="39" spans="3:11" x14ac:dyDescent="0.2">
      <c r="C39" s="25">
        <v>6</v>
      </c>
      <c r="D39" s="25">
        <f>-0.7*$B$8</f>
        <v>-473167.8861932556</v>
      </c>
      <c r="E39" s="25">
        <f t="shared" si="0"/>
        <v>-56000</v>
      </c>
      <c r="F39" s="25">
        <f t="shared" si="1"/>
        <v>16192000000</v>
      </c>
      <c r="G39" s="25">
        <f t="shared" si="2"/>
        <v>4152.7283177136469</v>
      </c>
      <c r="H39" s="25">
        <f t="shared" si="3"/>
        <v>-10680.728317713647</v>
      </c>
      <c r="I39" s="25">
        <f t="shared" si="4"/>
        <v>-378534.30895460449</v>
      </c>
      <c r="J39" s="25">
        <f t="shared" si="5"/>
        <v>3322.1826541709174</v>
      </c>
      <c r="K39" s="25">
        <f t="shared" si="6"/>
        <v>-8544.5826541709175</v>
      </c>
    </row>
    <row r="40" spans="3:11" x14ac:dyDescent="0.2">
      <c r="C40" s="25">
        <v>7</v>
      </c>
      <c r="D40" s="25">
        <f>-0.65*$B$8</f>
        <v>-439370.18003659451</v>
      </c>
      <c r="E40" s="25">
        <f t="shared" si="0"/>
        <v>-52000</v>
      </c>
      <c r="F40" s="25">
        <f t="shared" si="1"/>
        <v>17488000000</v>
      </c>
      <c r="G40" s="25">
        <f t="shared" si="2"/>
        <v>4676.9740616744548</v>
      </c>
      <c r="H40" s="25">
        <f t="shared" si="3"/>
        <v>-10738.688347388741</v>
      </c>
      <c r="I40" s="25">
        <f t="shared" si="4"/>
        <v>-351496.14402927563</v>
      </c>
      <c r="J40" s="25">
        <f t="shared" si="5"/>
        <v>3741.5792493395638</v>
      </c>
      <c r="K40" s="25">
        <f t="shared" si="6"/>
        <v>-8590.9506779109925</v>
      </c>
    </row>
    <row r="41" spans="3:11" x14ac:dyDescent="0.2">
      <c r="C41" s="25">
        <v>8</v>
      </c>
      <c r="D41" s="25">
        <f>-0.6*$B$8</f>
        <v>-405572.47387993342</v>
      </c>
      <c r="E41" s="25">
        <f t="shared" si="0"/>
        <v>-48000.000000000007</v>
      </c>
      <c r="F41" s="25">
        <f t="shared" si="1"/>
        <v>18688000000</v>
      </c>
      <c r="G41" s="25">
        <f t="shared" si="2"/>
        <v>5170.1794927761212</v>
      </c>
      <c r="H41" s="25">
        <f t="shared" si="3"/>
        <v>-10765.608064204691</v>
      </c>
      <c r="I41" s="25">
        <f t="shared" si="4"/>
        <v>-324457.97910394671</v>
      </c>
      <c r="J41" s="25">
        <f t="shared" si="5"/>
        <v>4136.1435942208973</v>
      </c>
      <c r="K41" s="25">
        <f t="shared" si="6"/>
        <v>-8612.4864513637531</v>
      </c>
    </row>
    <row r="42" spans="3:11" x14ac:dyDescent="0.2">
      <c r="C42" s="25">
        <v>9</v>
      </c>
      <c r="D42" s="25">
        <f>-0.55*$B$8</f>
        <v>-371774.76772327232</v>
      </c>
      <c r="E42" s="25">
        <f t="shared" si="0"/>
        <v>-44000.000000000007</v>
      </c>
      <c r="F42" s="25">
        <f t="shared" si="1"/>
        <v>19792000000</v>
      </c>
      <c r="G42" s="25">
        <f t="shared" si="2"/>
        <v>5635.2985156435889</v>
      </c>
      <c r="H42" s="25">
        <f t="shared" si="3"/>
        <v>-10764.441372786447</v>
      </c>
      <c r="I42" s="25">
        <f t="shared" si="4"/>
        <v>-297419.81417861785</v>
      </c>
      <c r="J42" s="25">
        <f t="shared" si="5"/>
        <v>4508.2388125148709</v>
      </c>
      <c r="K42" s="25">
        <f t="shared" si="6"/>
        <v>-8611.5530982291566</v>
      </c>
    </row>
    <row r="43" spans="3:11" x14ac:dyDescent="0.2">
      <c r="C43" s="25">
        <v>10</v>
      </c>
      <c r="D43" s="25">
        <f>-0.5*$B$8</f>
        <v>-337977.06156661117</v>
      </c>
      <c r="E43" s="25">
        <f t="shared" si="0"/>
        <v>-40000</v>
      </c>
      <c r="F43" s="25">
        <f t="shared" si="1"/>
        <v>20800000000</v>
      </c>
      <c r="G43" s="25">
        <f t="shared" si="2"/>
        <v>6074.6566879389002</v>
      </c>
      <c r="H43" s="25">
        <f t="shared" si="3"/>
        <v>-10737.513830796042</v>
      </c>
      <c r="I43" s="25">
        <f t="shared" si="4"/>
        <v>-270381.64925328892</v>
      </c>
      <c r="J43" s="25">
        <f t="shared" si="5"/>
        <v>4859.7253503511201</v>
      </c>
      <c r="K43" s="25">
        <f t="shared" si="6"/>
        <v>-8590.0110646368339</v>
      </c>
    </row>
    <row r="44" spans="3:11" x14ac:dyDescent="0.2">
      <c r="C44" s="25">
        <v>11</v>
      </c>
      <c r="D44" s="25">
        <f>-0.449999999999999*$B$8</f>
        <v>-304179.35540994938</v>
      </c>
      <c r="E44" s="25">
        <f t="shared" si="0"/>
        <v>-35999.99999999992</v>
      </c>
      <c r="F44" s="25">
        <f t="shared" si="1"/>
        <v>21712000000.000015</v>
      </c>
      <c r="G44" s="25">
        <f t="shared" si="2"/>
        <v>6490.1098356670882</v>
      </c>
      <c r="H44" s="25">
        <f t="shared" si="3"/>
        <v>-10686.681264238507</v>
      </c>
      <c r="I44" s="25">
        <f t="shared" si="4"/>
        <v>-243343.48432795951</v>
      </c>
      <c r="J44" s="25">
        <f t="shared" si="5"/>
        <v>5192.0878685336702</v>
      </c>
      <c r="K44" s="25">
        <f t="shared" si="6"/>
        <v>-8549.3450113908057</v>
      </c>
    </row>
    <row r="45" spans="3:11" x14ac:dyDescent="0.2">
      <c r="C45" s="25">
        <v>12</v>
      </c>
      <c r="D45" s="25">
        <f>-0.4*$B$8</f>
        <v>-270381.64925328892</v>
      </c>
      <c r="E45" s="25">
        <f t="shared" si="0"/>
        <v>-32000</v>
      </c>
      <c r="F45" s="25">
        <f t="shared" si="1"/>
        <v>22528000000</v>
      </c>
      <c r="G45" s="25">
        <f t="shared" si="2"/>
        <v>6883.1525943220995</v>
      </c>
      <c r="H45" s="25">
        <f t="shared" si="3"/>
        <v>-10613.438308607812</v>
      </c>
      <c r="I45" s="25">
        <f t="shared" si="4"/>
        <v>-216305.31940263114</v>
      </c>
      <c r="J45" s="25">
        <f t="shared" si="5"/>
        <v>5506.5220754576794</v>
      </c>
      <c r="K45" s="25">
        <f t="shared" si="6"/>
        <v>-8490.7506468862503</v>
      </c>
    </row>
    <row r="46" spans="3:11" x14ac:dyDescent="0.2">
      <c r="C46" s="25">
        <v>13</v>
      </c>
      <c r="D46" s="25">
        <f>-0.35*$B$8</f>
        <v>-236583.9430966278</v>
      </c>
      <c r="E46" s="25">
        <f t="shared" si="0"/>
        <v>-28000</v>
      </c>
      <c r="F46" s="25">
        <f t="shared" si="1"/>
        <v>23248000000</v>
      </c>
      <c r="G46" s="25">
        <f t="shared" si="2"/>
        <v>7254.9947079299818</v>
      </c>
      <c r="H46" s="25">
        <f t="shared" si="3"/>
        <v>-10518.994707929982</v>
      </c>
      <c r="I46" s="25">
        <f t="shared" si="4"/>
        <v>-189267.15447730225</v>
      </c>
      <c r="J46" s="25">
        <f t="shared" si="5"/>
        <v>5803.9957663439855</v>
      </c>
      <c r="K46" s="25">
        <f t="shared" si="6"/>
        <v>-8415.1957663439862</v>
      </c>
    </row>
    <row r="47" spans="3:11" x14ac:dyDescent="0.2">
      <c r="C47" s="25">
        <v>14</v>
      </c>
      <c r="D47" s="25">
        <f>-0.3*$B$8</f>
        <v>-202786.23693996671</v>
      </c>
      <c r="E47" s="25">
        <f t="shared" si="0"/>
        <v>-24000.000000000004</v>
      </c>
      <c r="F47" s="25">
        <f t="shared" si="1"/>
        <v>23872000000</v>
      </c>
      <c r="G47" s="25">
        <f t="shared" si="2"/>
        <v>7606.6158053232111</v>
      </c>
      <c r="H47" s="25">
        <f t="shared" si="3"/>
        <v>-10404.330091037496</v>
      </c>
      <c r="I47" s="25">
        <f t="shared" si="4"/>
        <v>-162228.98955197335</v>
      </c>
      <c r="J47" s="25">
        <f t="shared" si="5"/>
        <v>6085.2926442585685</v>
      </c>
      <c r="K47" s="25">
        <f t="shared" si="6"/>
        <v>-8323.4640728299964</v>
      </c>
    </row>
    <row r="48" spans="3:11" x14ac:dyDescent="0.2">
      <c r="C48" s="25">
        <v>15</v>
      </c>
      <c r="D48" s="25">
        <f>-0.25*$B$8</f>
        <v>-168988.53078330558</v>
      </c>
      <c r="E48" s="25">
        <f t="shared" si="0"/>
        <v>-20000</v>
      </c>
      <c r="F48" s="25">
        <f t="shared" si="1"/>
        <v>24400000000</v>
      </c>
      <c r="G48" s="25">
        <f t="shared" si="2"/>
        <v>7938.8053364854713</v>
      </c>
      <c r="H48" s="25">
        <f t="shared" si="3"/>
        <v>-10270.233907914042</v>
      </c>
      <c r="I48" s="25">
        <f t="shared" si="4"/>
        <v>-135190.82462664446</v>
      </c>
      <c r="J48" s="25">
        <f t="shared" si="5"/>
        <v>6351.0442691883773</v>
      </c>
      <c r="K48" s="25">
        <f t="shared" si="6"/>
        <v>-8216.1871263312332</v>
      </c>
    </row>
    <row r="49" spans="3:11" x14ac:dyDescent="0.2">
      <c r="C49" s="25">
        <v>16</v>
      </c>
      <c r="D49" s="25">
        <f>-0.199999999999999*$B$8</f>
        <v>-135190.82462664379</v>
      </c>
      <c r="E49" s="25">
        <f t="shared" si="0"/>
        <v>-15999.999999999922</v>
      </c>
      <c r="F49" s="25">
        <f t="shared" si="1"/>
        <v>24832000000.000008</v>
      </c>
      <c r="G49" s="25">
        <f t="shared" si="2"/>
        <v>8252.1919614464296</v>
      </c>
      <c r="H49" s="25">
        <f t="shared" si="3"/>
        <v>-10117.334818589277</v>
      </c>
      <c r="I49" s="25">
        <f t="shared" si="4"/>
        <v>-108152.65970131503</v>
      </c>
      <c r="J49" s="25">
        <f t="shared" si="5"/>
        <v>6601.7535691571438</v>
      </c>
      <c r="K49" s="25">
        <f t="shared" si="6"/>
        <v>-8093.8678548714215</v>
      </c>
    </row>
    <row r="50" spans="3:11" x14ac:dyDescent="0.2">
      <c r="C50" s="25">
        <v>17</v>
      </c>
      <c r="D50" s="25">
        <f>-0.15*$B$8</f>
        <v>-101393.11846998335</v>
      </c>
      <c r="E50" s="25">
        <f t="shared" si="0"/>
        <v>-12000.000000000002</v>
      </c>
      <c r="F50" s="25">
        <f t="shared" si="1"/>
        <v>25168000000</v>
      </c>
      <c r="G50" s="25">
        <f t="shared" si="2"/>
        <v>8547.2652138756475</v>
      </c>
      <c r="H50" s="25">
        <f t="shared" si="3"/>
        <v>-9946.1223567327888</v>
      </c>
      <c r="I50" s="25">
        <f t="shared" si="4"/>
        <v>-81114.494775986677</v>
      </c>
      <c r="J50" s="25">
        <f t="shared" si="5"/>
        <v>6837.8121711005178</v>
      </c>
      <c r="K50" s="25">
        <f t="shared" si="6"/>
        <v>-7956.8978853862309</v>
      </c>
    </row>
    <row r="51" spans="3:11" x14ac:dyDescent="0.2">
      <c r="C51" s="25">
        <v>18</v>
      </c>
      <c r="D51" s="25">
        <f>-0.0999999999999999*$B$8</f>
        <v>-67595.412313322158</v>
      </c>
      <c r="E51" s="25">
        <f t="shared" si="0"/>
        <v>-7999.9999999999918</v>
      </c>
      <c r="F51" s="25">
        <f t="shared" si="1"/>
        <v>25408000000</v>
      </c>
      <c r="G51" s="25">
        <f t="shared" si="2"/>
        <v>8824.3913243770057</v>
      </c>
      <c r="H51" s="25">
        <f t="shared" si="3"/>
        <v>-9756.9627529484333</v>
      </c>
      <c r="I51" s="25">
        <f t="shared" si="4"/>
        <v>-54076.329850657727</v>
      </c>
      <c r="J51" s="25">
        <f t="shared" si="5"/>
        <v>7059.5130595016044</v>
      </c>
      <c r="K51" s="25">
        <f t="shared" si="6"/>
        <v>-7805.5702023587464</v>
      </c>
    </row>
    <row r="52" spans="3:11" x14ac:dyDescent="0.2">
      <c r="C52" s="25">
        <v>19</v>
      </c>
      <c r="D52" s="25">
        <f>-0.05*$B$8</f>
        <v>-33797.706156661116</v>
      </c>
      <c r="E52" s="25">
        <f t="shared" si="0"/>
        <v>-4000</v>
      </c>
      <c r="F52" s="25">
        <f t="shared" si="1"/>
        <v>25552000000</v>
      </c>
      <c r="G52" s="25">
        <f t="shared" si="2"/>
        <v>9083.8244693677007</v>
      </c>
      <c r="H52" s="25">
        <f t="shared" si="3"/>
        <v>-9550.1101836534144</v>
      </c>
      <c r="I52" s="25">
        <f t="shared" si="4"/>
        <v>-27038.164925328892</v>
      </c>
      <c r="J52" s="25">
        <f t="shared" si="5"/>
        <v>7267.0595754941605</v>
      </c>
      <c r="K52" s="25">
        <f t="shared" si="6"/>
        <v>-7640.0881469227315</v>
      </c>
    </row>
    <row r="53" spans="3:11" x14ac:dyDescent="0.2">
      <c r="C53" s="25">
        <v>20</v>
      </c>
      <c r="D53" s="25">
        <f>0*$B$8</f>
        <v>0</v>
      </c>
      <c r="E53" s="25">
        <f t="shared" si="0"/>
        <v>0</v>
      </c>
      <c r="F53" s="25">
        <f t="shared" si="1"/>
        <v>25600000000</v>
      </c>
      <c r="G53" s="25">
        <f t="shared" si="2"/>
        <v>9325.7142857142844</v>
      </c>
      <c r="H53" s="25">
        <f t="shared" si="3"/>
        <v>-9325.7142857142844</v>
      </c>
      <c r="I53" s="25">
        <f t="shared" si="4"/>
        <v>0</v>
      </c>
      <c r="J53" s="25">
        <f t="shared" si="5"/>
        <v>7460.5714285714275</v>
      </c>
      <c r="K53" s="25">
        <f t="shared" si="6"/>
        <v>-7460.5714285714275</v>
      </c>
    </row>
    <row r="54" spans="3:11" x14ac:dyDescent="0.2">
      <c r="C54" s="25">
        <v>21</v>
      </c>
      <c r="D54" s="25">
        <f>0.05*$B$8</f>
        <v>33797.706156661116</v>
      </c>
      <c r="E54" s="25">
        <f t="shared" si="0"/>
        <v>4000</v>
      </c>
      <c r="F54" s="25">
        <f t="shared" si="1"/>
        <v>25552000000</v>
      </c>
      <c r="G54" s="25">
        <f t="shared" si="2"/>
        <v>9550.1101836534144</v>
      </c>
      <c r="H54" s="25">
        <f t="shared" si="3"/>
        <v>-9083.8244693677007</v>
      </c>
      <c r="I54" s="25">
        <f t="shared" si="4"/>
        <v>27038.164925328892</v>
      </c>
      <c r="J54" s="25">
        <f t="shared" si="5"/>
        <v>7640.0881469227315</v>
      </c>
      <c r="K54" s="25">
        <f t="shared" si="6"/>
        <v>-7267.0595754941605</v>
      </c>
    </row>
    <row r="55" spans="3:11" x14ac:dyDescent="0.2">
      <c r="C55" s="25">
        <v>22</v>
      </c>
      <c r="D55" s="25">
        <f>0.1*$B$8</f>
        <v>67595.412313322231</v>
      </c>
      <c r="E55" s="25">
        <f t="shared" si="0"/>
        <v>8000</v>
      </c>
      <c r="F55" s="25">
        <f t="shared" si="1"/>
        <v>25408000000</v>
      </c>
      <c r="G55" s="25">
        <f t="shared" si="2"/>
        <v>9756.9627529484333</v>
      </c>
      <c r="H55" s="25">
        <f t="shared" si="3"/>
        <v>-8824.3913243770057</v>
      </c>
      <c r="I55" s="25">
        <f t="shared" si="4"/>
        <v>54076.329850657785</v>
      </c>
      <c r="J55" s="25">
        <f t="shared" si="5"/>
        <v>7805.5702023587464</v>
      </c>
      <c r="K55" s="25">
        <f t="shared" si="6"/>
        <v>-7059.5130595016044</v>
      </c>
    </row>
    <row r="56" spans="3:11" x14ac:dyDescent="0.2">
      <c r="C56" s="25">
        <v>23</v>
      </c>
      <c r="D56" s="25">
        <f>0.149999999999999*$B$8</f>
        <v>101393.11846998267</v>
      </c>
      <c r="E56" s="25">
        <f t="shared" si="0"/>
        <v>11999.99999999992</v>
      </c>
      <c r="F56" s="25">
        <f t="shared" si="1"/>
        <v>25168000000.000008</v>
      </c>
      <c r="G56" s="25">
        <f t="shared" si="2"/>
        <v>9946.122356732787</v>
      </c>
      <c r="H56" s="25">
        <f t="shared" si="3"/>
        <v>-8547.265213875653</v>
      </c>
      <c r="I56" s="25">
        <f t="shared" si="4"/>
        <v>81114.494775986139</v>
      </c>
      <c r="J56" s="25">
        <f t="shared" si="5"/>
        <v>7956.89788538623</v>
      </c>
      <c r="K56" s="25">
        <f t="shared" si="6"/>
        <v>-6837.8121711005224</v>
      </c>
    </row>
    <row r="57" spans="3:11" x14ac:dyDescent="0.2">
      <c r="C57" s="25">
        <v>24</v>
      </c>
      <c r="D57" s="25">
        <f>0.199999999999999*$B$8</f>
        <v>135190.82462664379</v>
      </c>
      <c r="E57" s="25">
        <f t="shared" si="0"/>
        <v>15999.999999999922</v>
      </c>
      <c r="F57" s="25">
        <f t="shared" si="1"/>
        <v>24832000000.000008</v>
      </c>
      <c r="G57" s="25">
        <f t="shared" si="2"/>
        <v>10117.334818589277</v>
      </c>
      <c r="H57" s="25">
        <f t="shared" si="3"/>
        <v>-8252.1919614464296</v>
      </c>
      <c r="I57" s="25">
        <f t="shared" si="4"/>
        <v>108152.65970131503</v>
      </c>
      <c r="J57" s="25">
        <f t="shared" si="5"/>
        <v>8093.8678548714215</v>
      </c>
      <c r="K57" s="25">
        <f t="shared" si="6"/>
        <v>-6601.7535691571438</v>
      </c>
    </row>
    <row r="58" spans="3:11" x14ac:dyDescent="0.2">
      <c r="C58" s="25">
        <v>25</v>
      </c>
      <c r="D58" s="25">
        <f>0.25*$B$8</f>
        <v>168988.53078330558</v>
      </c>
      <c r="E58" s="25">
        <f t="shared" si="0"/>
        <v>20000</v>
      </c>
      <c r="F58" s="25">
        <f t="shared" si="1"/>
        <v>24400000000</v>
      </c>
      <c r="G58" s="25">
        <f t="shared" si="2"/>
        <v>10270.233907914042</v>
      </c>
      <c r="H58" s="25">
        <f t="shared" si="3"/>
        <v>-7938.8053364854713</v>
      </c>
      <c r="I58" s="25">
        <f t="shared" si="4"/>
        <v>135190.82462664446</v>
      </c>
      <c r="J58" s="25">
        <f t="shared" si="5"/>
        <v>8216.1871263312332</v>
      </c>
      <c r="K58" s="25">
        <f t="shared" si="6"/>
        <v>-6351.0442691883773</v>
      </c>
    </row>
    <row r="59" spans="3:11" x14ac:dyDescent="0.2">
      <c r="C59" s="25">
        <v>26</v>
      </c>
      <c r="D59" s="25">
        <f>0.3*$B$8</f>
        <v>202786.23693996671</v>
      </c>
      <c r="E59" s="25">
        <f t="shared" si="0"/>
        <v>24000.000000000004</v>
      </c>
      <c r="F59" s="25">
        <f t="shared" si="1"/>
        <v>23872000000</v>
      </c>
      <c r="G59" s="25">
        <f t="shared" si="2"/>
        <v>10404.330091037496</v>
      </c>
      <c r="H59" s="25">
        <f t="shared" si="3"/>
        <v>-7606.6158053232111</v>
      </c>
      <c r="I59" s="25">
        <f t="shared" si="4"/>
        <v>162228.98955197335</v>
      </c>
      <c r="J59" s="25">
        <f t="shared" si="5"/>
        <v>8323.4640728299964</v>
      </c>
      <c r="K59" s="25">
        <f t="shared" si="6"/>
        <v>-6085.2926442585685</v>
      </c>
    </row>
    <row r="60" spans="3:11" x14ac:dyDescent="0.2">
      <c r="C60" s="25">
        <v>27</v>
      </c>
      <c r="D60" s="25">
        <f>0.35*$B$8</f>
        <v>236583.9430966278</v>
      </c>
      <c r="E60" s="25">
        <f t="shared" si="0"/>
        <v>28000</v>
      </c>
      <c r="F60" s="25">
        <f t="shared" si="1"/>
        <v>23248000000</v>
      </c>
      <c r="G60" s="25">
        <f t="shared" si="2"/>
        <v>10518.994707929982</v>
      </c>
      <c r="H60" s="25">
        <f t="shared" si="3"/>
        <v>-7254.9947079299818</v>
      </c>
      <c r="I60" s="25">
        <f t="shared" si="4"/>
        <v>189267.15447730225</v>
      </c>
      <c r="J60" s="25">
        <f t="shared" si="5"/>
        <v>8415.1957663439862</v>
      </c>
      <c r="K60" s="25">
        <f t="shared" si="6"/>
        <v>-5803.9957663439855</v>
      </c>
    </row>
    <row r="61" spans="3:11" x14ac:dyDescent="0.2">
      <c r="C61" s="25">
        <v>28</v>
      </c>
      <c r="D61" s="25">
        <f>0.399999999999999*$B$8</f>
        <v>270381.64925328828</v>
      </c>
      <c r="E61" s="25">
        <f t="shared" si="0"/>
        <v>31999.999999999927</v>
      </c>
      <c r="F61" s="25">
        <f t="shared" si="1"/>
        <v>22528000000.000015</v>
      </c>
      <c r="G61" s="25">
        <f t="shared" si="2"/>
        <v>10613.438308607811</v>
      </c>
      <c r="H61" s="25">
        <f t="shared" si="3"/>
        <v>-6883.1525943221068</v>
      </c>
      <c r="I61" s="25">
        <f t="shared" si="4"/>
        <v>216305.31940263062</v>
      </c>
      <c r="J61" s="25">
        <f t="shared" si="5"/>
        <v>8490.7506468862484</v>
      </c>
      <c r="K61" s="25">
        <f t="shared" si="6"/>
        <v>-5506.5220754576858</v>
      </c>
    </row>
    <row r="62" spans="3:11" x14ac:dyDescent="0.2">
      <c r="C62" s="25">
        <v>29</v>
      </c>
      <c r="D62" s="25">
        <f>0.449999999999999*$B$8</f>
        <v>304179.35540994938</v>
      </c>
      <c r="E62" s="25">
        <f t="shared" si="0"/>
        <v>35999.99999999992</v>
      </c>
      <c r="F62" s="25">
        <f t="shared" si="1"/>
        <v>21712000000.000015</v>
      </c>
      <c r="G62" s="25">
        <f t="shared" si="2"/>
        <v>10686.681264238507</v>
      </c>
      <c r="H62" s="25">
        <f t="shared" si="3"/>
        <v>-6490.1098356670882</v>
      </c>
      <c r="I62" s="25">
        <f t="shared" si="4"/>
        <v>243343.48432795951</v>
      </c>
      <c r="J62" s="25">
        <f t="shared" si="5"/>
        <v>8549.3450113908057</v>
      </c>
      <c r="K62" s="25">
        <f t="shared" si="6"/>
        <v>-5192.0878685336702</v>
      </c>
    </row>
    <row r="63" spans="3:11" x14ac:dyDescent="0.2">
      <c r="C63" s="25">
        <v>30</v>
      </c>
      <c r="D63" s="25">
        <f>0.5*$B$8</f>
        <v>337977.06156661117</v>
      </c>
      <c r="E63" s="25">
        <f t="shared" si="0"/>
        <v>40000</v>
      </c>
      <c r="F63" s="25">
        <f t="shared" si="1"/>
        <v>20800000000</v>
      </c>
      <c r="G63" s="25">
        <f t="shared" si="2"/>
        <v>10737.513830796042</v>
      </c>
      <c r="H63" s="25">
        <f t="shared" si="3"/>
        <v>-6074.6566879389002</v>
      </c>
      <c r="I63" s="25">
        <f t="shared" si="4"/>
        <v>270381.64925328892</v>
      </c>
      <c r="J63" s="25">
        <f t="shared" si="5"/>
        <v>8590.0110646368339</v>
      </c>
      <c r="K63" s="25">
        <f t="shared" si="6"/>
        <v>-4859.7253503511201</v>
      </c>
    </row>
    <row r="64" spans="3:11" x14ac:dyDescent="0.2">
      <c r="C64" s="25">
        <v>31</v>
      </c>
      <c r="D64" s="25">
        <f>0.55*$B$8</f>
        <v>371774.76772327232</v>
      </c>
      <c r="E64" s="25">
        <f t="shared" si="0"/>
        <v>44000.000000000007</v>
      </c>
      <c r="F64" s="25">
        <f t="shared" si="1"/>
        <v>19792000000</v>
      </c>
      <c r="G64" s="25">
        <f t="shared" si="2"/>
        <v>10764.441372786447</v>
      </c>
      <c r="H64" s="25">
        <f t="shared" si="3"/>
        <v>-5635.2985156435889</v>
      </c>
      <c r="I64" s="25">
        <f t="shared" si="4"/>
        <v>297419.81417861785</v>
      </c>
      <c r="J64" s="25">
        <f t="shared" si="5"/>
        <v>8611.5530982291566</v>
      </c>
      <c r="K64" s="25">
        <f t="shared" si="6"/>
        <v>-4508.2388125148709</v>
      </c>
    </row>
    <row r="65" spans="3:11" x14ac:dyDescent="0.2">
      <c r="C65" s="25">
        <v>32</v>
      </c>
      <c r="D65" s="25">
        <f>0.6*$B$8</f>
        <v>405572.47387993342</v>
      </c>
      <c r="E65" s="25">
        <f t="shared" si="0"/>
        <v>48000.000000000007</v>
      </c>
      <c r="F65" s="25">
        <f t="shared" si="1"/>
        <v>18688000000</v>
      </c>
      <c r="G65" s="25">
        <f t="shared" si="2"/>
        <v>10765.608064204691</v>
      </c>
      <c r="H65" s="25">
        <f t="shared" si="3"/>
        <v>-5170.1794927761212</v>
      </c>
      <c r="I65" s="25">
        <f t="shared" si="4"/>
        <v>324457.97910394671</v>
      </c>
      <c r="J65" s="25">
        <f t="shared" si="5"/>
        <v>8612.4864513637531</v>
      </c>
      <c r="K65" s="25">
        <f t="shared" si="6"/>
        <v>-4136.1435942208973</v>
      </c>
    </row>
    <row r="66" spans="3:11" x14ac:dyDescent="0.2">
      <c r="C66" s="25">
        <v>33</v>
      </c>
      <c r="D66" s="25">
        <f>0.649999999999999*$B$8</f>
        <v>439370.18003659387</v>
      </c>
      <c r="E66" s="25">
        <f t="shared" si="0"/>
        <v>51999.999999999927</v>
      </c>
      <c r="F66" s="25">
        <f t="shared" si="1"/>
        <v>17488000000.000023</v>
      </c>
      <c r="G66" s="25">
        <f t="shared" si="2"/>
        <v>10738.688347388743</v>
      </c>
      <c r="H66" s="25">
        <f t="shared" si="3"/>
        <v>-4676.9740616744648</v>
      </c>
      <c r="I66" s="25">
        <f t="shared" si="4"/>
        <v>351496.14402927511</v>
      </c>
      <c r="J66" s="25">
        <f t="shared" si="5"/>
        <v>8590.9506779109943</v>
      </c>
      <c r="K66" s="25">
        <f t="shared" si="6"/>
        <v>-3741.579249339572</v>
      </c>
    </row>
    <row r="67" spans="3:11" x14ac:dyDescent="0.2">
      <c r="C67" s="25">
        <v>34</v>
      </c>
      <c r="D67" s="25">
        <f>0.7*$B$8</f>
        <v>473167.8861932556</v>
      </c>
      <c r="E67" s="25">
        <f t="shared" si="0"/>
        <v>56000</v>
      </c>
      <c r="F67" s="25">
        <f t="shared" si="1"/>
        <v>16192000000</v>
      </c>
      <c r="G67" s="25">
        <f t="shared" si="2"/>
        <v>10680.728317713647</v>
      </c>
      <c r="H67" s="25">
        <f t="shared" si="3"/>
        <v>-4152.7283177136469</v>
      </c>
      <c r="I67" s="25">
        <f t="shared" si="4"/>
        <v>378534.30895460449</v>
      </c>
      <c r="J67" s="25">
        <f t="shared" si="5"/>
        <v>8544.5826541709175</v>
      </c>
      <c r="K67" s="25">
        <f t="shared" si="6"/>
        <v>-3322.1826541709174</v>
      </c>
    </row>
    <row r="68" spans="3:11" x14ac:dyDescent="0.2">
      <c r="C68" s="25">
        <v>35</v>
      </c>
      <c r="D68" s="25">
        <f>0.75*$B$8</f>
        <v>506965.59234991675</v>
      </c>
      <c r="E68" s="25">
        <f t="shared" si="0"/>
        <v>60000.000000000007</v>
      </c>
      <c r="F68" s="25">
        <f t="shared" si="1"/>
        <v>14799999999.999996</v>
      </c>
      <c r="G68" s="25">
        <f t="shared" si="2"/>
        <v>10587.906035319067</v>
      </c>
      <c r="H68" s="25">
        <f t="shared" si="3"/>
        <v>-3593.6203210333515</v>
      </c>
      <c r="I68" s="25">
        <f t="shared" si="4"/>
        <v>405572.47387993342</v>
      </c>
      <c r="J68" s="25">
        <f t="shared" si="5"/>
        <v>8470.324828255254</v>
      </c>
      <c r="K68" s="25">
        <f t="shared" si="6"/>
        <v>-2874.8962568266811</v>
      </c>
    </row>
    <row r="69" spans="3:11" x14ac:dyDescent="0.2">
      <c r="C69" s="25">
        <v>36</v>
      </c>
      <c r="D69" s="25">
        <f>0.8*$B$8</f>
        <v>540763.29850657785</v>
      </c>
      <c r="E69" s="25">
        <f t="shared" si="0"/>
        <v>64000</v>
      </c>
      <c r="F69" s="25">
        <f t="shared" si="1"/>
        <v>13312000000</v>
      </c>
      <c r="G69" s="25">
        <f t="shared" si="2"/>
        <v>10455.153921779691</v>
      </c>
      <c r="H69" s="25">
        <f t="shared" si="3"/>
        <v>-2994.5824932082637</v>
      </c>
      <c r="I69" s="25">
        <f t="shared" si="4"/>
        <v>432610.63880526228</v>
      </c>
      <c r="J69" s="25">
        <f t="shared" si="5"/>
        <v>8364.1231374237523</v>
      </c>
      <c r="K69" s="25">
        <f t="shared" si="6"/>
        <v>-2395.6659945666111</v>
      </c>
    </row>
    <row r="70" spans="3:11" x14ac:dyDescent="0.2">
      <c r="C70" s="25">
        <v>37</v>
      </c>
      <c r="D70" s="25">
        <f>0.85*$B$8</f>
        <v>574561.004663239</v>
      </c>
      <c r="E70" s="25">
        <f t="shared" si="0"/>
        <v>68000</v>
      </c>
      <c r="F70" s="25">
        <f t="shared" si="1"/>
        <v>11728000000</v>
      </c>
      <c r="G70" s="25">
        <f t="shared" si="2"/>
        <v>10275.531930557485</v>
      </c>
      <c r="H70" s="25">
        <f t="shared" si="3"/>
        <v>-2348.6747877003427</v>
      </c>
      <c r="I70" s="25">
        <f t="shared" si="4"/>
        <v>459648.8037305912</v>
      </c>
      <c r="J70" s="25">
        <f t="shared" si="5"/>
        <v>8220.4255444459886</v>
      </c>
      <c r="K70" s="25">
        <f t="shared" si="6"/>
        <v>-1878.9398301602741</v>
      </c>
    </row>
    <row r="71" spans="3:11" x14ac:dyDescent="0.2">
      <c r="C71" s="25">
        <v>38</v>
      </c>
      <c r="D71" s="25">
        <f>0.899999999999999*$B$8</f>
        <v>608358.71081989945</v>
      </c>
      <c r="E71" s="25">
        <f t="shared" si="0"/>
        <v>71999.999999999927</v>
      </c>
      <c r="F71" s="25">
        <f t="shared" si="1"/>
        <v>10048000000.000031</v>
      </c>
      <c r="G71" s="25">
        <f t="shared" si="2"/>
        <v>10039.114682452348</v>
      </c>
      <c r="H71" s="25">
        <f t="shared" si="3"/>
        <v>-1645.9718253094991</v>
      </c>
      <c r="I71" s="25">
        <f t="shared" si="4"/>
        <v>486686.96865591954</v>
      </c>
      <c r="J71" s="25">
        <f t="shared" si="5"/>
        <v>8031.2917459618784</v>
      </c>
      <c r="K71" s="25">
        <f t="shared" si="6"/>
        <v>-1316.7774602475993</v>
      </c>
    </row>
    <row r="72" spans="3:11" x14ac:dyDescent="0.2">
      <c r="C72" s="25">
        <v>39</v>
      </c>
      <c r="D72" s="25">
        <f>0.95*$B$8</f>
        <v>642156.41697656119</v>
      </c>
      <c r="E72" s="25">
        <f t="shared" si="0"/>
        <v>76000</v>
      </c>
      <c r="F72" s="25">
        <f t="shared" si="1"/>
        <v>8272000000</v>
      </c>
      <c r="G72" s="25">
        <f t="shared" si="2"/>
        <v>9730.8312415634791</v>
      </c>
      <c r="H72" s="25">
        <f t="shared" si="3"/>
        <v>-871.40267013490904</v>
      </c>
      <c r="I72" s="25">
        <f t="shared" si="4"/>
        <v>513725.13358124893</v>
      </c>
      <c r="J72" s="25">
        <f t="shared" si="5"/>
        <v>7784.6649932507835</v>
      </c>
      <c r="K72" s="25">
        <f t="shared" si="6"/>
        <v>-697.12213610792719</v>
      </c>
    </row>
    <row r="73" spans="3:11" x14ac:dyDescent="0.2">
      <c r="C73" s="25">
        <v>40</v>
      </c>
      <c r="D73" s="25">
        <f>1*$B$8</f>
        <v>675954.12313322234</v>
      </c>
      <c r="E73" s="25">
        <f t="shared" si="0"/>
        <v>80000</v>
      </c>
      <c r="F73" s="25">
        <f t="shared" si="1"/>
        <v>6400000000</v>
      </c>
      <c r="G73" s="25">
        <f t="shared" si="2"/>
        <v>9325.7142857142844</v>
      </c>
      <c r="H73" s="25">
        <f t="shared" si="3"/>
        <v>0</v>
      </c>
      <c r="I73" s="25">
        <f t="shared" si="4"/>
        <v>540763.29850657785</v>
      </c>
      <c r="J73" s="25">
        <f t="shared" si="5"/>
        <v>7460.5714285714275</v>
      </c>
      <c r="K73" s="25">
        <f t="shared" si="6"/>
        <v>0</v>
      </c>
    </row>
    <row r="75" spans="3:11" x14ac:dyDescent="0.2">
      <c r="C75" s="31" t="s">
        <v>146</v>
      </c>
      <c r="D75" s="30"/>
      <c r="E75" s="30"/>
    </row>
    <row r="76" spans="3:11" x14ac:dyDescent="0.2">
      <c r="C76" s="4" t="s">
        <v>88</v>
      </c>
      <c r="D76" s="4" t="s">
        <v>147</v>
      </c>
      <c r="E76" s="4" t="s">
        <v>148</v>
      </c>
    </row>
    <row r="77" spans="3:11" x14ac:dyDescent="0.2">
      <c r="C77" s="5" t="str">
        <f>'1_Inputs'!A50</f>
        <v>Service – normal</v>
      </c>
      <c r="D77" s="10">
        <f>'1_Inputs'!D50</f>
        <v>120000</v>
      </c>
      <c r="E77" s="10">
        <f>'1_Inputs'!E50</f>
        <v>4000</v>
      </c>
    </row>
    <row r="78" spans="3:11" x14ac:dyDescent="0.2">
      <c r="C78" s="5" t="str">
        <f>'1_Inputs'!A51</f>
        <v>CwD – elevated torque/drag</v>
      </c>
      <c r="D78" s="10">
        <f>'1_Inputs'!D51</f>
        <v>320000</v>
      </c>
      <c r="E78" s="10">
        <f>'1_Inputs'!E51</f>
        <v>9000</v>
      </c>
    </row>
    <row r="79" spans="3:11" x14ac:dyDescent="0.2">
      <c r="C79" s="5" t="str">
        <f>'1_Inputs'!A52</f>
        <v>CwD – severe (exceeds L80/BTC)</v>
      </c>
      <c r="D79" s="10">
        <f>'1_Inputs'!D52</f>
        <v>480000</v>
      </c>
      <c r="E79" s="10">
        <f>'1_Inputs'!E52</f>
        <v>12000</v>
      </c>
    </row>
    <row r="80" spans="3:11" x14ac:dyDescent="0.2">
      <c r="C80" s="5" t="str">
        <f>'1_Inputs'!A53</f>
        <v>SET – post-expansion residual</v>
      </c>
      <c r="D80" s="10">
        <f>'1_Inputs'!D53</f>
        <v>200000</v>
      </c>
      <c r="E80" s="10">
        <f>'1_Inputs'!E53</f>
        <v>7000</v>
      </c>
    </row>
    <row r="81" spans="3:5" x14ac:dyDescent="0.2">
      <c r="C81" s="5" t="str">
        <f>'1_Inputs'!A54</f>
        <v>SET – expansion peak (severe)</v>
      </c>
      <c r="D81" s="10">
        <f>'1_Inputs'!D54</f>
        <v>420000</v>
      </c>
      <c r="E81" s="10">
        <f>'1_Inputs'!E54</f>
        <v>11000</v>
      </c>
    </row>
    <row r="83" spans="3:5" x14ac:dyDescent="0.2">
      <c r="C83" s="3" t="s">
        <v>149</v>
      </c>
    </row>
    <row r="84" spans="3:5" x14ac:dyDescent="0.2">
      <c r="C84" s="26" t="s">
        <v>150</v>
      </c>
      <c r="D84" s="26" t="s">
        <v>151</v>
      </c>
    </row>
    <row r="85" spans="3:5" x14ac:dyDescent="0.2">
      <c r="C85" s="27">
        <f>$B$15</f>
        <v>281250</v>
      </c>
      <c r="D85" s="27">
        <f>$B$17</f>
        <v>4400</v>
      </c>
    </row>
    <row r="86" spans="3:5" x14ac:dyDescent="0.2">
      <c r="C86" s="27">
        <f>$B$15</f>
        <v>281250</v>
      </c>
      <c r="D86" s="27">
        <f>$B$18</f>
        <v>-3600</v>
      </c>
    </row>
    <row r="87" spans="3:5" x14ac:dyDescent="0.2">
      <c r="C87" s="27">
        <f>$B$16</f>
        <v>-271428.57142857142</v>
      </c>
      <c r="D87" s="27">
        <f>$B$18</f>
        <v>-3600</v>
      </c>
    </row>
    <row r="88" spans="3:5" x14ac:dyDescent="0.2">
      <c r="C88" s="27">
        <f>$B$16</f>
        <v>-271428.57142857142</v>
      </c>
      <c r="D88" s="27">
        <f>$B$17</f>
        <v>4400</v>
      </c>
    </row>
    <row r="89" spans="3:5" x14ac:dyDescent="0.2">
      <c r="C89" s="27">
        <f>$B$15</f>
        <v>281250</v>
      </c>
      <c r="D89" s="27">
        <f>$B$17</f>
        <v>4400</v>
      </c>
    </row>
  </sheetData>
  <mergeCells count="4">
    <mergeCell ref="C31:I31"/>
    <mergeCell ref="A3:G3"/>
    <mergeCell ref="C75:E75"/>
    <mergeCell ref="A2:G2"/>
  </mergeCells>
  <pageMargins left="0" right="0" top="0.44999999999999996" bottom="0.36" header="0" footer="0"/>
  <pageSetup paperSize="9" scale="62" orientation="portrait" horizontalDpi="0" verticalDpi="0"/>
  <headerFooter>
    <oddHeader>&amp;L&amp;A&amp;R&amp;D</oddHeader>
    <oddFooter>&amp;Lfd - &amp;F&amp;C&amp;P/&amp;N&amp;R&amp;T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0_Instructions</vt:lpstr>
      <vt:lpstr>1_Inputs</vt:lpstr>
      <vt:lpstr>2_Connection</vt:lpstr>
      <vt:lpstr>3_Results</vt:lpstr>
      <vt:lpstr>4_VME_data plot</vt:lpstr>
      <vt:lpstr>4_VME_Plot screen</vt:lpstr>
      <vt:lpstr>caselist</vt:lpstr>
      <vt:lpstr>caselistfull</vt:lpstr>
      <vt:lpstr>casingfull</vt:lpstr>
      <vt:lpstr>casinglist</vt:lpstr>
      <vt:lpstr>connectionfull</vt:lpstr>
      <vt:lpstr>connectionlist</vt:lpstr>
      <vt:lpstr>'4_VME_data plot'!Print_Area</vt:lpstr>
      <vt:lpstr>'0_Instructions'!Print_Titles</vt:lpstr>
      <vt:lpstr>'1_Inputs'!Print_Titles</vt:lpstr>
      <vt:lpstr>'2_Connection'!Print_Titles</vt:lpstr>
      <vt:lpstr>'3_Results'!Print_Titles</vt:lpstr>
      <vt:lpstr>'4_VME_data plot'!Print_Titles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Francois Dorleans</cp:lastModifiedBy>
  <cp:lastPrinted>2026-08-18T15:47:39Z</cp:lastPrinted>
  <dcterms:created xsi:type="dcterms:W3CDTF">2026-08-18T14:47:01Z</dcterms:created>
  <dcterms:modified xsi:type="dcterms:W3CDTF">2026-08-18T15:47:44Z</dcterms:modified>
</cp:coreProperties>
</file>